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291B6FE6-A5D7-486B-B2AC-7FA01BF89E48}" xr6:coauthVersionLast="47" xr6:coauthVersionMax="47" xr10:uidLastSave="{00000000-0000-0000-0000-000000000000}"/>
  <bookViews>
    <workbookView xWindow="-108" yWindow="12852" windowWidth="23256" windowHeight="12456" tabRatio="724" xr2:uid="{00000000-000D-0000-FFFF-FFFF00000000}"/>
  </bookViews>
  <sheets>
    <sheet name="団体概要書" sheetId="1" r:id="rId1"/>
  </sheets>
  <definedNames>
    <definedName name="_xlnm._FilterDatabase" localSheetId="0" hidden="1">団体概要書!$A$2:$AC$420</definedName>
    <definedName name="_xlnm.Print_Area" localSheetId="0">団体概要書!$A$2:$AC$424</definedName>
    <definedName name="_xlnm.Print_Titles" localSheetId="0">団体概要書!$2:$2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8" i="1" l="1"/>
  <c r="E307" i="1"/>
  <c r="B307" i="1"/>
  <c r="E306" i="1"/>
  <c r="B306" i="1"/>
  <c r="B305" i="1"/>
  <c r="E304" i="1"/>
  <c r="B304" i="1"/>
  <c r="B303" i="1"/>
  <c r="E302" i="1"/>
  <c r="B302" i="1"/>
  <c r="E301" i="1"/>
  <c r="B301" i="1"/>
  <c r="E300" i="1"/>
  <c r="B300" i="1"/>
  <c r="E299" i="1"/>
  <c r="B299" i="1"/>
  <c r="E298" i="1"/>
  <c r="B298" i="1"/>
  <c r="E297" i="1"/>
  <c r="B297" i="1"/>
  <c r="E296" i="1"/>
  <c r="B296" i="1"/>
  <c r="E295" i="1"/>
  <c r="B295" i="1"/>
  <c r="E294" i="1"/>
  <c r="B294" i="1"/>
  <c r="B293" i="1"/>
  <c r="E292" i="1"/>
  <c r="B292" i="1"/>
  <c r="B291" i="1"/>
  <c r="B290" i="1"/>
  <c r="E289" i="1"/>
  <c r="B289" i="1"/>
  <c r="E288" i="1"/>
  <c r="B288" i="1"/>
  <c r="E287" i="1"/>
  <c r="B287" i="1"/>
  <c r="E286" i="1"/>
  <c r="B286" i="1"/>
  <c r="B285" i="1"/>
  <c r="B284" i="1"/>
  <c r="B283" i="1"/>
  <c r="E282" i="1"/>
  <c r="B282" i="1"/>
  <c r="B281" i="1"/>
  <c r="E280" i="1"/>
  <c r="B280" i="1"/>
  <c r="E279" i="1"/>
  <c r="B279" i="1"/>
  <c r="E278" i="1"/>
  <c r="B278" i="1"/>
  <c r="B277" i="1"/>
  <c r="E276" i="1"/>
  <c r="B276" i="1"/>
  <c r="B275" i="1"/>
  <c r="B274" i="1"/>
  <c r="E273" i="1"/>
  <c r="B273" i="1"/>
  <c r="E272" i="1"/>
  <c r="B272" i="1"/>
  <c r="B271" i="1"/>
  <c r="B270" i="1"/>
  <c r="B269" i="1"/>
  <c r="B268" i="1"/>
  <c r="B267" i="1"/>
  <c r="E266" i="1"/>
  <c r="B266" i="1"/>
  <c r="B265" i="1"/>
  <c r="E264" i="1"/>
  <c r="B264" i="1"/>
  <c r="E263" i="1"/>
  <c r="B263" i="1"/>
  <c r="E262" i="1"/>
  <c r="B262" i="1"/>
  <c r="E261" i="1"/>
  <c r="B261" i="1"/>
  <c r="E260" i="1"/>
  <c r="B260" i="1"/>
  <c r="B259" i="1"/>
  <c r="E258" i="1"/>
  <c r="B258" i="1"/>
  <c r="E257" i="1"/>
  <c r="B257" i="1"/>
  <c r="E256" i="1"/>
  <c r="B256" i="1"/>
  <c r="B255" i="1"/>
  <c r="E254" i="1"/>
  <c r="B254" i="1"/>
  <c r="B253" i="1"/>
  <c r="E252" i="1"/>
  <c r="B252" i="1"/>
  <c r="E251" i="1"/>
  <c r="B251" i="1"/>
  <c r="B250" i="1"/>
  <c r="E249" i="1"/>
  <c r="B249" i="1"/>
  <c r="B248" i="1"/>
  <c r="B247" i="1"/>
  <c r="B246" i="1"/>
  <c r="B245" i="1"/>
  <c r="B244" i="1"/>
  <c r="E243" i="1"/>
  <c r="B243" i="1"/>
  <c r="B242" i="1"/>
  <c r="B241" i="1"/>
  <c r="B240" i="1"/>
  <c r="E239" i="1"/>
  <c r="B239" i="1"/>
  <c r="B238" i="1"/>
  <c r="E237" i="1"/>
  <c r="B237" i="1"/>
  <c r="E236" i="1"/>
  <c r="B236" i="1"/>
  <c r="E235" i="1"/>
  <c r="B235" i="1"/>
  <c r="E234" i="1"/>
  <c r="B234" i="1"/>
  <c r="E233" i="1"/>
  <c r="B233" i="1"/>
  <c r="E232" i="1"/>
  <c r="B232" i="1"/>
  <c r="E231" i="1"/>
  <c r="B231" i="1"/>
  <c r="E230" i="1"/>
  <c r="B230" i="1"/>
  <c r="E229" i="1"/>
  <c r="B229" i="1"/>
  <c r="B228" i="1"/>
  <c r="E227" i="1"/>
  <c r="B227" i="1"/>
  <c r="E226" i="1"/>
  <c r="B226" i="1"/>
  <c r="E225" i="1"/>
  <c r="B225" i="1"/>
  <c r="E224" i="1"/>
  <c r="B224" i="1"/>
  <c r="E223" i="1"/>
  <c r="B223" i="1"/>
  <c r="B222" i="1"/>
  <c r="B221" i="1"/>
  <c r="E220" i="1"/>
  <c r="B220" i="1"/>
  <c r="E219" i="1"/>
  <c r="B219" i="1"/>
  <c r="E218" i="1"/>
  <c r="B218" i="1"/>
  <c r="B217" i="1"/>
  <c r="E216" i="1"/>
  <c r="B216" i="1"/>
  <c r="E215" i="1"/>
  <c r="B215" i="1"/>
  <c r="E214" i="1"/>
  <c r="B214" i="1"/>
  <c r="B213" i="1"/>
  <c r="E212" i="1"/>
  <c r="B212" i="1"/>
  <c r="E211" i="1"/>
  <c r="B211" i="1"/>
  <c r="E210" i="1"/>
  <c r="B210" i="1"/>
  <c r="E209" i="1"/>
  <c r="B209" i="1"/>
  <c r="E208" i="1"/>
  <c r="B208" i="1"/>
  <c r="E207" i="1"/>
  <c r="B207" i="1"/>
  <c r="E206" i="1"/>
  <c r="B206" i="1"/>
  <c r="E205" i="1"/>
  <c r="B205" i="1"/>
  <c r="E204" i="1"/>
  <c r="B204" i="1"/>
  <c r="E203" i="1"/>
  <c r="B203" i="1"/>
  <c r="B202" i="1"/>
  <c r="B201" i="1"/>
  <c r="B200" i="1"/>
  <c r="E199" i="1"/>
  <c r="B199" i="1"/>
  <c r="E198" i="1"/>
  <c r="B198" i="1"/>
  <c r="E197" i="1"/>
  <c r="B197" i="1"/>
  <c r="E196" i="1"/>
  <c r="B196" i="1"/>
  <c r="B195" i="1"/>
  <c r="E194" i="1"/>
  <c r="B194" i="1"/>
  <c r="E193" i="1"/>
  <c r="B193" i="1"/>
  <c r="B192" i="1"/>
  <c r="E191" i="1"/>
  <c r="B191" i="1"/>
  <c r="E190" i="1"/>
  <c r="B190" i="1"/>
  <c r="E189" i="1"/>
  <c r="B189" i="1"/>
  <c r="B188" i="1"/>
  <c r="B187" i="1"/>
  <c r="E186" i="1"/>
  <c r="B186" i="1"/>
  <c r="E185" i="1"/>
  <c r="B185" i="1"/>
  <c r="E184" i="1"/>
  <c r="B184" i="1"/>
  <c r="E183" i="1"/>
  <c r="B183" i="1"/>
  <c r="E182" i="1"/>
  <c r="B182" i="1"/>
  <c r="E181" i="1"/>
  <c r="B181" i="1"/>
  <c r="E180" i="1"/>
  <c r="B180" i="1"/>
  <c r="E179" i="1"/>
  <c r="B179" i="1"/>
  <c r="B178" i="1"/>
  <c r="B177" i="1"/>
  <c r="E176" i="1"/>
  <c r="B176" i="1"/>
  <c r="E175" i="1"/>
  <c r="B175" i="1"/>
  <c r="B174" i="1"/>
  <c r="E173" i="1"/>
  <c r="B173" i="1"/>
  <c r="E172" i="1"/>
  <c r="B172" i="1"/>
  <c r="E171" i="1"/>
  <c r="B171" i="1"/>
  <c r="E170" i="1"/>
  <c r="B170" i="1"/>
  <c r="E169" i="1"/>
  <c r="B169" i="1"/>
  <c r="E168" i="1"/>
  <c r="B168" i="1"/>
  <c r="E167" i="1"/>
  <c r="B167" i="1"/>
  <c r="E166" i="1"/>
  <c r="B166" i="1"/>
  <c r="E165" i="1"/>
  <c r="B165" i="1"/>
  <c r="E164" i="1"/>
  <c r="B164" i="1"/>
  <c r="E163" i="1"/>
  <c r="B163" i="1"/>
  <c r="B162" i="1"/>
  <c r="E161" i="1"/>
  <c r="B161" i="1"/>
  <c r="E160" i="1"/>
  <c r="B160" i="1"/>
  <c r="B159" i="1"/>
  <c r="E158" i="1"/>
  <c r="B158" i="1"/>
  <c r="E157" i="1"/>
  <c r="B157" i="1"/>
  <c r="E156" i="1"/>
  <c r="B156" i="1"/>
  <c r="E155" i="1"/>
  <c r="B155" i="1"/>
  <c r="E154" i="1"/>
  <c r="B154" i="1"/>
  <c r="E153" i="1"/>
  <c r="B153" i="1"/>
  <c r="E152" i="1"/>
  <c r="B152" i="1"/>
  <c r="B151" i="1"/>
  <c r="E150" i="1"/>
  <c r="B150" i="1"/>
  <c r="E149" i="1"/>
  <c r="B149" i="1"/>
  <c r="B148" i="1"/>
  <c r="E147" i="1"/>
  <c r="B147" i="1"/>
  <c r="E146" i="1"/>
  <c r="B146" i="1"/>
  <c r="B145" i="1"/>
  <c r="B144" i="1"/>
  <c r="B143" i="1"/>
  <c r="E142" i="1"/>
  <c r="B142" i="1"/>
  <c r="B141" i="1"/>
  <c r="E140" i="1"/>
  <c r="B140" i="1"/>
  <c r="B139" i="1"/>
  <c r="E138" i="1"/>
  <c r="B138" i="1"/>
  <c r="E137" i="1"/>
  <c r="B137" i="1"/>
  <c r="E136" i="1"/>
  <c r="B136" i="1"/>
  <c r="B135" i="1"/>
  <c r="E134" i="1"/>
  <c r="B134" i="1"/>
  <c r="E133" i="1"/>
  <c r="B133" i="1"/>
  <c r="B132" i="1"/>
  <c r="E131" i="1"/>
  <c r="B131" i="1"/>
  <c r="E130" i="1"/>
  <c r="B130" i="1"/>
  <c r="B129" i="1"/>
  <c r="E128" i="1"/>
  <c r="B128" i="1"/>
  <c r="E127" i="1"/>
  <c r="B127" i="1"/>
  <c r="B126" i="1"/>
  <c r="E125" i="1"/>
  <c r="B125" i="1"/>
  <c r="E124" i="1"/>
  <c r="B124" i="1"/>
  <c r="E123" i="1"/>
  <c r="B123" i="1"/>
  <c r="E122" i="1"/>
  <c r="B122" i="1"/>
  <c r="E121" i="1"/>
  <c r="B121" i="1"/>
  <c r="E120" i="1"/>
  <c r="B120" i="1"/>
  <c r="E119" i="1"/>
  <c r="B119" i="1"/>
  <c r="E118" i="1"/>
  <c r="B118" i="1"/>
  <c r="E117" i="1"/>
  <c r="B117" i="1"/>
  <c r="E116" i="1"/>
  <c r="B116" i="1"/>
  <c r="B115" i="1"/>
  <c r="E114" i="1"/>
  <c r="B114" i="1"/>
  <c r="E113" i="1"/>
  <c r="B113" i="1"/>
  <c r="B112" i="1"/>
  <c r="B111" i="1"/>
  <c r="E110" i="1"/>
  <c r="B110" i="1"/>
  <c r="E109" i="1"/>
  <c r="B109" i="1"/>
  <c r="E108" i="1"/>
  <c r="B108" i="1"/>
  <c r="E107" i="1"/>
  <c r="B107" i="1"/>
  <c r="E106" i="1"/>
  <c r="B106" i="1"/>
  <c r="E105" i="1"/>
  <c r="B105" i="1"/>
  <c r="E104" i="1"/>
  <c r="B104" i="1"/>
  <c r="E103" i="1"/>
  <c r="B103" i="1"/>
  <c r="E102" i="1"/>
  <c r="B102" i="1"/>
  <c r="E101" i="1"/>
  <c r="B101" i="1"/>
  <c r="E100" i="1"/>
  <c r="B100" i="1"/>
  <c r="E99" i="1"/>
  <c r="B99" i="1"/>
  <c r="E98" i="1"/>
  <c r="B98" i="1"/>
  <c r="B97" i="1"/>
  <c r="E96" i="1"/>
  <c r="B96" i="1"/>
  <c r="B95" i="1"/>
  <c r="B94" i="1"/>
  <c r="E93" i="1"/>
  <c r="B93" i="1"/>
  <c r="B92" i="1"/>
  <c r="E91" i="1"/>
  <c r="B91" i="1"/>
  <c r="E90" i="1"/>
  <c r="B90" i="1"/>
  <c r="B89" i="1"/>
  <c r="E88" i="1"/>
  <c r="B88" i="1"/>
  <c r="B87" i="1"/>
  <c r="E86" i="1"/>
  <c r="B86" i="1"/>
  <c r="E85" i="1"/>
  <c r="B85" i="1"/>
  <c r="E84" i="1"/>
  <c r="B84" i="1"/>
  <c r="B83" i="1"/>
  <c r="E82" i="1"/>
  <c r="B82" i="1"/>
  <c r="E81" i="1"/>
  <c r="B81" i="1"/>
  <c r="B80" i="1"/>
  <c r="E79" i="1"/>
  <c r="B79" i="1"/>
  <c r="E78" i="1"/>
  <c r="B78" i="1"/>
  <c r="B77" i="1"/>
  <c r="B76" i="1"/>
  <c r="E75" i="1"/>
  <c r="B75" i="1"/>
  <c r="E74" i="1"/>
  <c r="B74" i="1"/>
  <c r="E73" i="1"/>
  <c r="B73" i="1"/>
  <c r="E72" i="1"/>
  <c r="B72" i="1"/>
  <c r="E71" i="1"/>
  <c r="B71" i="1"/>
  <c r="E70" i="1"/>
  <c r="B70" i="1"/>
  <c r="E69" i="1"/>
  <c r="B69" i="1"/>
  <c r="E68" i="1"/>
  <c r="B68" i="1"/>
  <c r="E67" i="1"/>
  <c r="B67" i="1"/>
  <c r="E66" i="1"/>
  <c r="B66" i="1"/>
  <c r="E65" i="1"/>
  <c r="B65" i="1"/>
  <c r="E64" i="1"/>
  <c r="B64" i="1"/>
  <c r="E63" i="1"/>
  <c r="B63" i="1"/>
  <c r="E62" i="1"/>
  <c r="B62" i="1"/>
  <c r="E61" i="1"/>
  <c r="B61" i="1"/>
  <c r="E60" i="1"/>
  <c r="B60" i="1"/>
  <c r="E59" i="1"/>
  <c r="B59" i="1"/>
  <c r="E58" i="1"/>
  <c r="B58" i="1"/>
  <c r="E57" i="1"/>
  <c r="B57" i="1"/>
  <c r="E56" i="1"/>
  <c r="B56" i="1"/>
  <c r="E55" i="1"/>
  <c r="B55" i="1"/>
  <c r="E54" i="1"/>
  <c r="B54" i="1"/>
  <c r="E53" i="1"/>
  <c r="B53" i="1"/>
  <c r="E52" i="1"/>
  <c r="B52" i="1"/>
  <c r="B51" i="1"/>
  <c r="E50" i="1"/>
  <c r="B50" i="1"/>
  <c r="E49" i="1"/>
  <c r="B49" i="1"/>
  <c r="E48" i="1"/>
  <c r="B48" i="1"/>
  <c r="E47" i="1"/>
  <c r="B47" i="1"/>
  <c r="E46" i="1"/>
  <c r="B46" i="1"/>
  <c r="E45" i="1"/>
  <c r="B45" i="1"/>
  <c r="E44" i="1"/>
  <c r="B44" i="1"/>
  <c r="E43" i="1"/>
  <c r="B43" i="1"/>
  <c r="E42" i="1"/>
  <c r="B42" i="1"/>
  <c r="E41" i="1"/>
  <c r="B41" i="1"/>
  <c r="E40" i="1"/>
  <c r="B40" i="1"/>
  <c r="E39" i="1"/>
  <c r="B39" i="1"/>
  <c r="E38" i="1"/>
  <c r="B38" i="1"/>
  <c r="E37" i="1"/>
  <c r="B37" i="1"/>
  <c r="E36" i="1"/>
  <c r="B36" i="1"/>
  <c r="E35" i="1"/>
  <c r="B35" i="1"/>
  <c r="E34" i="1"/>
  <c r="B34" i="1"/>
  <c r="E33" i="1"/>
  <c r="B33" i="1"/>
  <c r="E32" i="1"/>
  <c r="B32" i="1"/>
  <c r="E31" i="1"/>
  <c r="B31" i="1"/>
  <c r="E30" i="1"/>
  <c r="B30" i="1"/>
  <c r="E29" i="1"/>
  <c r="B29" i="1"/>
  <c r="E28" i="1"/>
  <c r="B28" i="1"/>
  <c r="E27" i="1"/>
  <c r="B27" i="1"/>
  <c r="E26" i="1"/>
  <c r="B26" i="1"/>
  <c r="E25" i="1"/>
  <c r="B25" i="1"/>
  <c r="E24" i="1"/>
  <c r="B24" i="1"/>
  <c r="B23" i="1"/>
  <c r="E22" i="1"/>
  <c r="B22" i="1"/>
  <c r="E21" i="1"/>
  <c r="B21" i="1"/>
  <c r="E20" i="1"/>
  <c r="B20" i="1"/>
  <c r="E19" i="1"/>
  <c r="B19" i="1"/>
  <c r="E18" i="1"/>
  <c r="B18" i="1"/>
  <c r="E17" i="1"/>
  <c r="B17" i="1"/>
  <c r="E16" i="1"/>
  <c r="B16" i="1"/>
  <c r="E15" i="1"/>
  <c r="B15" i="1"/>
  <c r="E14" i="1"/>
  <c r="B14" i="1"/>
  <c r="E13" i="1"/>
  <c r="B13" i="1"/>
  <c r="E12" i="1"/>
  <c r="B12" i="1"/>
  <c r="E11" i="1"/>
  <c r="B11" i="1"/>
  <c r="E10" i="1"/>
  <c r="B10" i="1"/>
  <c r="E9" i="1"/>
  <c r="B9" i="1"/>
  <c r="E8" i="1"/>
  <c r="B8" i="1"/>
  <c r="E7" i="1"/>
  <c r="B7" i="1"/>
  <c r="E6" i="1"/>
  <c r="B6" i="1"/>
  <c r="E5" i="1"/>
  <c r="B5" i="1"/>
  <c r="E4" i="1"/>
  <c r="B4" i="1"/>
  <c r="E3" i="1"/>
  <c r="B3" i="1"/>
</calcChain>
</file>

<file path=xl/sharedStrings.xml><?xml version="1.0" encoding="utf-8"?>
<sst xmlns="http://schemas.openxmlformats.org/spreadsheetml/2006/main" count="3497" uniqueCount="1712">
  <si>
    <t>登録番号</t>
    <rPh sb="0" eb="2">
      <t>トウロク</t>
    </rPh>
    <rPh sb="2" eb="4">
      <t>バンゴウ</t>
    </rPh>
    <phoneticPr fontId="1"/>
  </si>
  <si>
    <t>団体名</t>
    <rPh sb="0" eb="2">
      <t>ダンタイ</t>
    </rPh>
    <rPh sb="2" eb="3">
      <t>メイ</t>
    </rPh>
    <phoneticPr fontId="1"/>
  </si>
  <si>
    <t>主な活動場所</t>
    <rPh sb="0" eb="1">
      <t>オモ</t>
    </rPh>
    <rPh sb="2" eb="4">
      <t>カツドウ</t>
    </rPh>
    <rPh sb="4" eb="6">
      <t>バショ</t>
    </rPh>
    <phoneticPr fontId="1"/>
  </si>
  <si>
    <t>ＨＰアドレス</t>
    <phoneticPr fontId="1"/>
  </si>
  <si>
    <t>設立年月</t>
    <rPh sb="0" eb="2">
      <t>セツリツ</t>
    </rPh>
    <rPh sb="2" eb="3">
      <t>ネン</t>
    </rPh>
    <rPh sb="3" eb="4">
      <t>ツキ</t>
    </rPh>
    <phoneticPr fontId="1"/>
  </si>
  <si>
    <t>活動開始年月</t>
    <rPh sb="0" eb="2">
      <t>カツドウ</t>
    </rPh>
    <rPh sb="2" eb="4">
      <t>カイシ</t>
    </rPh>
    <rPh sb="4" eb="6">
      <t>ネンゲツ</t>
    </rPh>
    <phoneticPr fontId="1"/>
  </si>
  <si>
    <t>設立目的</t>
    <rPh sb="0" eb="2">
      <t>セツリツ</t>
    </rPh>
    <rPh sb="2" eb="4">
      <t>モクテキ</t>
    </rPh>
    <phoneticPr fontId="1"/>
  </si>
  <si>
    <t>活動内容</t>
    <rPh sb="0" eb="2">
      <t>カツドウ</t>
    </rPh>
    <rPh sb="2" eb="4">
      <t>ナイヨウ</t>
    </rPh>
    <phoneticPr fontId="1"/>
  </si>
  <si>
    <t>活動実績</t>
    <rPh sb="0" eb="2">
      <t>カツドウ</t>
    </rPh>
    <rPh sb="2" eb="4">
      <t>ジッセキ</t>
    </rPh>
    <phoneticPr fontId="1"/>
  </si>
  <si>
    <t>①から⑱までの活動を行う団体の運営又は活動に関する連絡、助言又は援助の活動</t>
    <rPh sb="7" eb="9">
      <t>カツドウ</t>
    </rPh>
    <rPh sb="10" eb="11">
      <t>オコナ</t>
    </rPh>
    <rPh sb="12" eb="14">
      <t>ダンタイ</t>
    </rPh>
    <rPh sb="15" eb="17">
      <t>ウンエイ</t>
    </rPh>
    <rPh sb="17" eb="18">
      <t>マタ</t>
    </rPh>
    <rPh sb="19" eb="21">
      <t>カツドウ</t>
    </rPh>
    <rPh sb="22" eb="23">
      <t>カン</t>
    </rPh>
    <rPh sb="25" eb="27">
      <t>レンラク</t>
    </rPh>
    <rPh sb="28" eb="30">
      <t>ジョゲン</t>
    </rPh>
    <rPh sb="30" eb="31">
      <t>マタ</t>
    </rPh>
    <rPh sb="32" eb="34">
      <t>エンジョ</t>
    </rPh>
    <rPh sb="35" eb="37">
      <t>カツドウ</t>
    </rPh>
    <phoneticPr fontId="1"/>
  </si>
  <si>
    <t>①保健、医療、福祉の増進</t>
    <rPh sb="1" eb="3">
      <t>ホケン</t>
    </rPh>
    <rPh sb="4" eb="6">
      <t>イリョウ</t>
    </rPh>
    <rPh sb="7" eb="9">
      <t>フクシ</t>
    </rPh>
    <rPh sb="10" eb="12">
      <t>ゾウシン</t>
    </rPh>
    <phoneticPr fontId="1"/>
  </si>
  <si>
    <t>②社会教育の推進</t>
    <rPh sb="1" eb="3">
      <t>シャカイ</t>
    </rPh>
    <rPh sb="3" eb="5">
      <t>キョウイク</t>
    </rPh>
    <rPh sb="6" eb="8">
      <t>スイシン</t>
    </rPh>
    <phoneticPr fontId="1"/>
  </si>
  <si>
    <t>③まちづくりの推進</t>
    <rPh sb="7" eb="9">
      <t>スイシン</t>
    </rPh>
    <phoneticPr fontId="1"/>
  </si>
  <si>
    <t>④観光の振興</t>
    <rPh sb="1" eb="3">
      <t>カンコウ</t>
    </rPh>
    <rPh sb="4" eb="6">
      <t>シンコウ</t>
    </rPh>
    <phoneticPr fontId="1"/>
  </si>
  <si>
    <t>⑤農山漁村又は中山間地域の振興</t>
    <rPh sb="1" eb="5">
      <t>ノウサンギョソン</t>
    </rPh>
    <rPh sb="5" eb="6">
      <t>マタ</t>
    </rPh>
    <rPh sb="7" eb="8">
      <t>ナカ</t>
    </rPh>
    <rPh sb="8" eb="10">
      <t>サンカン</t>
    </rPh>
    <rPh sb="10" eb="12">
      <t>チイキ</t>
    </rPh>
    <rPh sb="13" eb="15">
      <t>シンコウ</t>
    </rPh>
    <phoneticPr fontId="1"/>
  </si>
  <si>
    <t>⑥学術、文化、芸術、スポーツの振興</t>
    <rPh sb="1" eb="3">
      <t>ガクジュツ</t>
    </rPh>
    <rPh sb="4" eb="6">
      <t>ブンカ</t>
    </rPh>
    <rPh sb="7" eb="9">
      <t>ゲイジュツ</t>
    </rPh>
    <rPh sb="15" eb="17">
      <t>シンコウ</t>
    </rPh>
    <phoneticPr fontId="1"/>
  </si>
  <si>
    <t>⑦環境の保全</t>
    <rPh sb="1" eb="3">
      <t>カンキョウ</t>
    </rPh>
    <rPh sb="4" eb="6">
      <t>ホゼン</t>
    </rPh>
    <phoneticPr fontId="1"/>
  </si>
  <si>
    <t>⑧災害救援</t>
    <rPh sb="1" eb="3">
      <t>サイガイ</t>
    </rPh>
    <rPh sb="3" eb="5">
      <t>キュウエン</t>
    </rPh>
    <phoneticPr fontId="1"/>
  </si>
  <si>
    <t>⑨地域安全</t>
    <rPh sb="1" eb="3">
      <t>チイキ</t>
    </rPh>
    <rPh sb="3" eb="5">
      <t>アンゼン</t>
    </rPh>
    <phoneticPr fontId="1"/>
  </si>
  <si>
    <t>⑩人権擁護、平和の推進</t>
    <rPh sb="1" eb="3">
      <t>ジンケン</t>
    </rPh>
    <rPh sb="3" eb="5">
      <t>ヨウゴ</t>
    </rPh>
    <rPh sb="6" eb="8">
      <t>ヘイワ</t>
    </rPh>
    <rPh sb="9" eb="11">
      <t>スイシン</t>
    </rPh>
    <phoneticPr fontId="1"/>
  </si>
  <si>
    <t>⑪国際協力</t>
    <rPh sb="1" eb="3">
      <t>コクサイ</t>
    </rPh>
    <rPh sb="3" eb="5">
      <t>キョウリョク</t>
    </rPh>
    <phoneticPr fontId="1"/>
  </si>
  <si>
    <t>⑫男女共同参画社会形成の促進</t>
    <rPh sb="1" eb="3">
      <t>ダンジョ</t>
    </rPh>
    <rPh sb="3" eb="5">
      <t>キョウドウ</t>
    </rPh>
    <rPh sb="5" eb="7">
      <t>サンカク</t>
    </rPh>
    <rPh sb="7" eb="9">
      <t>シャカイ</t>
    </rPh>
    <rPh sb="9" eb="11">
      <t>ケイセイ</t>
    </rPh>
    <rPh sb="12" eb="14">
      <t>ソクシン</t>
    </rPh>
    <phoneticPr fontId="1"/>
  </si>
  <si>
    <t>⑬子どもの健全育成</t>
    <rPh sb="1" eb="2">
      <t>コ</t>
    </rPh>
    <rPh sb="5" eb="7">
      <t>ケンゼン</t>
    </rPh>
    <rPh sb="7" eb="9">
      <t>イクセイ</t>
    </rPh>
    <phoneticPr fontId="1"/>
  </si>
  <si>
    <t>⑭情報化社会の発展</t>
    <rPh sb="1" eb="4">
      <t>ジョウホウカ</t>
    </rPh>
    <rPh sb="4" eb="6">
      <t>シャカイ</t>
    </rPh>
    <rPh sb="7" eb="9">
      <t>ハッテン</t>
    </rPh>
    <phoneticPr fontId="1"/>
  </si>
  <si>
    <t>⑮科学技術の振興</t>
    <rPh sb="1" eb="3">
      <t>カガク</t>
    </rPh>
    <rPh sb="3" eb="5">
      <t>ギジュツ</t>
    </rPh>
    <rPh sb="6" eb="8">
      <t>シンコウ</t>
    </rPh>
    <phoneticPr fontId="1"/>
  </si>
  <si>
    <t>⑯経済活動の活性化</t>
    <rPh sb="1" eb="3">
      <t>ケイザイ</t>
    </rPh>
    <rPh sb="3" eb="5">
      <t>カツドウ</t>
    </rPh>
    <rPh sb="6" eb="9">
      <t>カッセイカ</t>
    </rPh>
    <phoneticPr fontId="1"/>
  </si>
  <si>
    <t>⑰職業能力開発・雇用機会拡充</t>
    <rPh sb="1" eb="3">
      <t>ショクギョウ</t>
    </rPh>
    <rPh sb="3" eb="5">
      <t>ノウリョク</t>
    </rPh>
    <rPh sb="5" eb="7">
      <t>カイハツ</t>
    </rPh>
    <rPh sb="8" eb="10">
      <t>コヨウ</t>
    </rPh>
    <rPh sb="10" eb="12">
      <t>キカイ</t>
    </rPh>
    <rPh sb="12" eb="14">
      <t>カクジュウ</t>
    </rPh>
    <phoneticPr fontId="1"/>
  </si>
  <si>
    <t>⑱消費者の保護</t>
    <rPh sb="1" eb="4">
      <t>ショウヒシャ</t>
    </rPh>
    <rPh sb="5" eb="7">
      <t>ホゴ</t>
    </rPh>
    <phoneticPr fontId="1"/>
  </si>
  <si>
    <t>代表者
役職・氏名</t>
    <rPh sb="0" eb="3">
      <t>ダイヒョウシャ</t>
    </rPh>
    <rPh sb="4" eb="6">
      <t>ヤクショク</t>
    </rPh>
    <rPh sb="7" eb="9">
      <t>シメイ</t>
    </rPh>
    <phoneticPr fontId="1"/>
  </si>
  <si>
    <t>活動分野</t>
    <rPh sb="0" eb="2">
      <t>カツドウ</t>
    </rPh>
    <rPh sb="2" eb="4">
      <t>ブンヤ</t>
    </rPh>
    <phoneticPr fontId="1"/>
  </si>
  <si>
    <t>理事長　齋藤　千鶴</t>
  </si>
  <si>
    <t>札幌市内および道内</t>
  </si>
  <si>
    <t>平成15年09月</t>
  </si>
  <si>
    <t>平成07年04月</t>
  </si>
  <si>
    <t>　札幌琴似八軒地域の劇場を核として、芸術文化活動や地域活動に関わっている人や団体と幅広く連携しながら、芸術文化の振興を図り、また芸術文化に関する事業をコミュニティ形成や教育・福祉に役立てることを目的とする。</t>
  </si>
  <si>
    <t>○拠点となる劇場を再建するために：民間資金4,310万円を調達し、拠点劇場「生活支援型文化施設コンカリーニョ」を市民力により自ら設計、再建。運営中。
_x000D_
○芸術家・市民に発表の場を提供し、多様な舞台芸術鑑賞機会をつくるために：劇場（コンカリーニョ、パトス2館）貸し館業務、道外公演の制作サポート業務、発表のためにコーディネート業務、フェスティバルの開催
_x000D_
○地元活動家の育成のために：あけぼのアート＆コミュニティセンター管理運営、各種ワークショップの実施
_x000D_
○芸術の裾野を広げ、芸術の力を社会に還元するために：各種ワークショップ、講座の実施、住民参加型演劇の製作_x000D_
○地域活動・他分野ＮＰＯ活動を支援するために：お祭りや地域交流イベントや会合・催し物のパフォーマンスコーディネート、文化的ツールを利用しての講師派遣</t>
  </si>
  <si>
    <t>札幌演劇シーズン、北方圏のAlive音楽、西区文化フェスタ運営、JCDN「踊りに行くぜ」、在札および道外カンパニーとの提携公演、コミュニケーション教育事業、温故知新音楽劇づくり事業等、コンカリ夏祭り、新年もちつき大会、あけぼのファーム、漬け物自慢大会、あけぼのアフタースクール等</t>
  </si>
  <si>
    <t>○</t>
  </si>
  <si>
    <t>代表理事　森田　麻美子</t>
  </si>
  <si>
    <t>札幌市</t>
  </si>
  <si>
    <t>平成13年05月</t>
  </si>
  <si>
    <t>平成10年05月</t>
  </si>
  <si>
    <t>この法人は、共感力と創造力を駆使して、ボランティアニーズのマッチング、独身者の孤立防止、子育て支援の仕組みを構築し、人と人をつないで社会的課題を解決することを目指す。</t>
  </si>
  <si>
    <t>１．ボランティアニーズのマッチング事業「ボラナビ」_x000D_
２．独身者のお独り様会_x000D_
日本に独身者が増えることで関連する社会的課題が山積する中、独身者自身が自発的に活動して同性や異性の友人づくりができる環境を整えることで課題解決の一歩につなげられるとして2011年に始めた。_x000D_
３．孤独死防止サービス_x000D_
孤独死を心配される方が事前に利用者登録。週に1回、弊社無人電話に電話をかけてもらい、弊社は着信記録をチェックする。着信がなければ、ご利用者様へ連絡する。ご利用者様と連絡が取れない場合、事前登録していただく別居の家族や大家など緊急連絡先者様に連絡する。</t>
  </si>
  <si>
    <t>・2017年11月　東京お独り様会スタート_x000D_
・2017年7月「孤独死防止サービス」対象者を拡張 _x000D_
・2015年10月　北海道庁「平成27年度北海道福祉のまちづくり賞・活動部門」を受賞_x000D_
・2015年4月　北海道新聞社会福祉振興基金さまより感謝状受領_x000D_
・2011年10月　道新ボランティア奨励賞特別賞を受賞_x000D_
・2011年9月　お独り様会がNHKテレビ「おはよう日本」で全国に紹介される_x000D_
・2011年4月　お独り様会を始める_x000D_
・1998年8月 「月刊ボラナビ」を創刊_x000D_
・1998年5月 任意団体ボラナビ倶楽部設立</t>
  </si>
  <si>
    <t>理事長　本庄　真美子</t>
  </si>
  <si>
    <t>北海道・札幌市内全域</t>
  </si>
  <si>
    <t>平成14年03月</t>
  </si>
  <si>
    <t>平成05年01月</t>
  </si>
  <si>
    <t>この法人は、エイズへの差別・偏見をなくし、ヒト免疫不全ウイルス感染者（HIV陽性者）・エイズ患者またはその家族と共に生きる社会を目指すことを目的とする。</t>
  </si>
  <si>
    <t>・エイズ電話相談（毎週火曜日19時～22時）_x000D_
・講演活動（エイズ出前授業、生と性の健康教育事業）_x000D_
・海外エイズ孤児のためのABCキルトの作製、海外送付_x000D_
・当事者共生事業（HIV陽性者・エイズ患者とその周囲の人々のための電話相談、面談、交流会）
_x000D_
・予防啓発イベント・ワークショップ・勉強会の企画運営
_x000D_
・行政施策への提言</t>
  </si>
  <si>
    <t>・1995年からのエイズ電話相談は、全国より年間300件～365件を研修を受けた専門員が対応_x000D_
・2001年からのエイズ出前授業は、これまで150件以上の学校や公共施設で実施
_x000D_
・2012年3月及び9月、ウガンダのエイズ孤児へABCキルトを贈呈_x000D_
・2013年9月14日「HIV陽性者交流会in札幌」を北海道初開催。2014年度より定期開催する_x000D_
・毎年12月開催の世界エイズデー札幌関連企画、RED RIBBON LIVEへの参加・協力
_x000D_
・札幌市より「札幌市エイズ対策推進協議会」委員を委嘱</t>
  </si>
  <si>
    <t>理事長　大嶋　栄子</t>
  </si>
  <si>
    <t>札幌市東区</t>
  </si>
  <si>
    <t>平成16年01月</t>
  </si>
  <si>
    <t>平成14年09月</t>
  </si>
  <si>
    <t>精神保健領域で専門職として働く女性らが女性独自の困難を抱える人たちに包括的な支援ができる場が必要ということで設立に至った。</t>
  </si>
  <si>
    <t>法人は、白石区にグループホーム（一戸建て）、豊平区に独立生活型のグループホーム、東区に地域活動支援センター（H26.4.1より就労継続支援B型「トラヴァイユ・それいゆ」として開所）と、3つの施設を運営。精神科医療だけでは完結しない生活上の困難を抱える女性に対して、ジェンダーの視点に配慮した支援の場を24時間、365日体制で提供している。</t>
  </si>
  <si>
    <t>H19.2　専門職対象連続講座「グループワークを始めてみませんか」開催_x000D_
同年　法人設立5周年記念パーティ開催_x000D_
H20.5　信田さよ子講演会「加害者は変われるか」開催H21.6　専門職対象研修連続講座「ジェンダースタディース」開催_x000D_
同年10月専門職対象「往来葉書ワークショップ」開催_x000D_
H24年度は「それいゆ10周年記念イベント」として、坂上香さん、上岡はるえさん、平川和子さんの研修会、上野千鶴子さんと信田さよ子さんの対談などを開催し、多くの人に参加していただいた。また、その他に毎年、コンベンションセンター、エルプラザなどの会場において「それいゆ祭り」を開催している。　</t>
  </si>
  <si>
    <t>代表  二ッ森　明子</t>
  </si>
  <si>
    <t>札幌市南区と近郊区</t>
  </si>
  <si>
    <t>平成07年09月</t>
  </si>
  <si>
    <t>地域に暮らす子育て中の家庭の中で、子どもも母も父も、加えて子育てに関わる様々な人たちが、安心して笑顔で暮らせる街になるよう、心に寄り添いながらお手伝いしたいと考えます。
「子育てにゆとりのひとときを・・・」をモットーに、子育てしやすい地域づくりを目指しています。</t>
  </si>
  <si>
    <t>居宅訪問型の保育サービスを中心に、団体、企業などからの委託による集団保育にも取り組んでいます。_x000D_
また、毎週月・水・土曜日の10:00～15:00を「ぱおぱおひろば」開催しており、2013年11月より札幌市子育て支援拠点事業を受託しています。_x000D_
年4、5回のペースで地域の小学生を対象に「ぐるぐるらんど」を開催し、ボードゲーム・カプラ・手作りおもちゃなどの遊びの企画を実施しています。</t>
  </si>
  <si>
    <t>2016年度実績
_x000D_
・居宅型訪問保育～1，419件5,033時間
_x000D_
・集団保育　 　　　～192件492時間_x000D_
・ぱおぱおひろば ～2016年4月～2017年3月143階715時間開催・年間来場者数4568人_x000D_
・ぐるぐるらんど 　～全5回開催
　合計参加人数58名_x000D_
・ぱおぱお文庫　～2016年度末蔵書数1005冊、貸し出し人数319人、貸し出し数691冊</t>
  </si>
  <si>
    <t>理事長　今木　康彦</t>
  </si>
  <si>
    <t>札幌市中央区</t>
  </si>
  <si>
    <t>平成20年06月</t>
  </si>
  <si>
    <t>平成20年04月</t>
  </si>
  <si>
    <t>　心身上に障がいを有する者の身体的精神的機能の回復や維持のための、トレーニング乗馬と
健常者の乗馬指導を行い、障がい者と健常者が共通の乗馬行動を通して、両者が共生する福祉
社会の醸成に寄与することを目的とする。</t>
  </si>
  <si>
    <t>　この目的を達成するために、次の事業を行っている
　_x000D_
（1） 障がい者を対象とする乗馬トレーニングを行う。
　_x000D_
（2） 児童及び一般への乗馬指導を行う。
　_x000D_
（3） 障がい者を含む乗馬セラピー効用の啓発普及を行う。（4） 各地の要請に応えて障がい者乗馬トレーニングによる地域交流を行う。
　_x000D_
（5） その他、目的達成に寄与する事業を行う。</t>
  </si>
  <si>
    <t>1．当センター発足以来、毎年次の活動を行ってきた。
　_x000D_
（1） 年間を通して、障がい者25～30名の乗馬トレーニング、健常者3～7名の乗馬指導を行ってきた。
　_x000D_
（2） 滝川市にある公益財団法人　そらぷちキッズキャンプが行う野外プログラム「馬触れ合い」業務で年間10回の受託業務を行ってきた。
　_x000D_
（3） 岩見沢市の障がい者等との交流で障がい者乗馬プログラムを行ってきた。
　_x000D_
_x000D_
2．当センターの協力関係団体
　_x000D_
（1） 日本治療的乗馬協会
　_x000D_
（2） 北海道乗馬連盟</t>
  </si>
  <si>
    <t>運営委員長　小野　純子</t>
  </si>
  <si>
    <t>札幌市厚別区（市内8劇場合同の活動時は札幌市内）</t>
  </si>
  <si>
    <t>平成18年10月</t>
  </si>
  <si>
    <t>子どものための優れた生の舞台の鑑賞（例会活動）と、子ども達の友情と自主性、創造性を育むための文化活動（自主活動）を通して、子ども達の健やかな育ちを図り、合わせて運動に参加する大人達・青年の自発的活動を通して、その人間的高まりと子どもの文化全体の発展を目指す。</t>
  </si>
  <si>
    <t>・滝野山の家でのお泊り会（101名参加）、劇場まつり（163名参加）、小5～中・高・大学生・大人のキャンプ（2泊3日）他、地域毎のキャンプ、もちつき、幼児の会等、多数実施。</t>
  </si>
  <si>
    <t>・年齢に合った優れた生の舞台の鑑賞会を毎年8～12回（白石子ども劇場時代から数えて20年間で170回）実施。舞台鑑賞に先立ち、作品や思いを、より深く知るための事前交流会や講演会、ワークショップを実施（今年度28回）</t>
  </si>
  <si>
    <t>運営委員長　橋本　さおり</t>
  </si>
  <si>
    <t>札幌市内全域</t>
  </si>
  <si>
    <t>昭和46年10月</t>
  </si>
  <si>
    <t>札幌市内の子ども劇場の交流と連帯を通じて、子ども劇場の発展をはかり、優れた児童文化の創造をめざす</t>
  </si>
  <si>
    <t>①札幌市内各劇場の交流と研究活動_x000D_
②共同の事業（鑑賞例会、全体行事、機関紙発行、広報活動　等）_x000D_
③対外的な活動（創造団体等への窓口、行政への働きかけ　等）_x000D_
④その他　会の目的にそった活動</t>
  </si>
  <si>
    <t>○運営委員会　定例月１回_x000D_
○事務局会議　年12回_x000D_
○合同鑑賞例会　年12回_x000D_
　※子どもの年齢にあった生の舞台作品を親子で鑑賞。_x000D_
　　　なお2019年3月から2020年2月の実績ではのべ4,687名が鑑賞_x000D_
○あそびと地域のつながりを拡げるための「地域公演」の実施（市内各所）_x000D_
○その他　親子の育ちや交流のためのワークショップ、講演会、勉強会等</t>
  </si>
  <si>
    <t>理事長　芦澤　健</t>
  </si>
  <si>
    <t>北海道内全域</t>
  </si>
  <si>
    <t>平成14年08月</t>
  </si>
  <si>
    <t>平成16年04月</t>
  </si>
  <si>
    <t>薬物依存症者に共同生活の場を提供し、薬物を使わない生き方のプログラムを実践することによって、薬物依存からの回復を支援する。回復していくための場、時間、回復者モデルを提供し、ナルコティクス　アノニマス（NA）の12ステップに基づいたプログラムによって新しい生き方の方向付けをする。</t>
  </si>
  <si>
    <t>薬物依存症者のためのグループホームの運営・本人や家族および関係者からの相談事業、学校・保健所、福祉事務所、地域団体の要請に応じた講演や説明会の開催及び参加・刑務所での薬害教育の実施・関係機関及び専門家との情報交換の場の開催</t>
  </si>
  <si>
    <t>刑務所、拘置所、警察署面会メッセージ　年間　約28件_x000D_
刑務所での「薬物乱用防止教育」　年間　約30件（道内5ケ所）_x000D_
病院メッセージ　年間28件学校講演「薬物乱用防止啓発活動」　年間26校_x000D_
厚生施設及び観察所、更生保護委員会講演等年間４件_x000D_
地域活動支援センター、グループホームの運営。メール。電話、来所での相談対応。テレビ、新聞の取材対応。</t>
  </si>
  <si>
    <t>クラブキャプテン　上坂　弘文</t>
  </si>
  <si>
    <t>札幌市南区定山渓ほか</t>
  </si>
  <si>
    <t>平成11年07月</t>
  </si>
  <si>
    <t>昭和50年05月</t>
  </si>
  <si>
    <t>子供から大人までラグビーフットボールをこよなく愛する方や、ラグビーフットボールに限らず広くスポーツを愛する方々に対し、地域における活動の場の提供や、その他支援のための事業並びにスポーツを通じたボランティア活動を行うことにより、北海道におけるスポーツの普及と振興に寄与することを目的とする。</t>
  </si>
  <si>
    <t xml:space="preserve">活動拠点である札幌市内において通年型競技としてはラグビー（成人男女、少年男女）、クリケット、パークゴルフ、アイスホッケー、ストレングス＆コンディショニング、冬期間競技としてクロスカントリースキーのスポーツ活動およびクリニック等普及活動を実施
</t>
  </si>
  <si>
    <t>ラグビー
_x000D_
全国クラブラグビー選手権大会、北海道ラグビーフットボール選手権大会、札幌市民大会　優勝
札幌ラグビークリニック・女子セブンズクリニック実施　
_x000D_
第2回ピリカモシリセブンズ大会開催（第3位）
_x000D_
アイスホッケー（小学生）　　　　　_x000D_
第20回札幌アイスホッケー連盟会長杯　第3位
_x000D_
パークゴルフ　　　　　_x000D_
定山渓町内会バーバリアンズカップ開催_x000D_
その他ストレングス＆コンディショニング、クロスカントリースキー等各種競技の練習等随時実施</t>
  </si>
  <si>
    <t>代表理事　荒井　宏明</t>
  </si>
  <si>
    <t>北海道内　岩手県　宮城県　福島県</t>
  </si>
  <si>
    <t>平成20年01月</t>
  </si>
  <si>
    <t>本会は、地域等の格差に左右されない読書機会を創造するため、北海道、東北その他の地域において読書環境の整備支援を進める。</t>
  </si>
  <si>
    <t>①各地域の図書環境の現状やニーズを調査する。_x000D_
②読み終えた図書を引き取り、それらを整理し、図書施設に無償で提供する。_x000D_
③活動を通じて、図書環境やまちづくりに貢献できる人材を育成する。_x000D_
④読書環境の整備を支援するとともに、本のあるまちづくり、本のある暮らしを提案していく。</t>
  </si>
  <si>
    <t>平成20年度　道内の保育所、小中学校、青少年施設などに図書の無償提供をスタート（以降、継続中）
_x000D_
平成21年度　第1回さっぽろ環境賞受賞　札幌市図書再活用ネットワークセンター開設
_x000D_
平成23年度　東日本大震災被災地支援のため、宮城県石巻市に「みやぎ復興支援図書センター」を設置し、被災自治体の保育所、小中学校、公民館、図書館などの整備支援を進める。_x000D_
平成24年度　陸前高田市において図書館を建設し、同市に寄贈する。北海道の小中学校の学校図書館に関する調査を実施し、報告書を制作。
_x000D_
平成25年度　情報誌「ブックシェアリング」を創刊し、北海道・東北の46の図書施設にて配布。ミクロネシア連邦ヤップ州立図書館からの支援要請を受け、図書を送付するとともに、現地を訪問し、調査を実施。</t>
  </si>
  <si>
    <t>代表理事　照井　レナ</t>
  </si>
  <si>
    <t>平成11年12月</t>
  </si>
  <si>
    <t>私たちは、日本で使われなくなった車いすを集め、修理をし、海外旅行をする旅行者の手荷物として、発展途上国の病院や施設、個人に、直接送り届ける活動を行っています。この活動を通じて、障がいや国境の垣根を越え、誰もがその人らしく生きる社会の実現を目指します。_x000D_
私たちの役割として、想いをのせた車いすを手から手へ届けることによって、障がいのある人が社会に参加できる機会を提供します。また、車いすを通じて、多様な人がつながる場、活躍する場をつくり、ボランティアの裾野を広げます。</t>
  </si>
  <si>
    <t>・日本で使われなくなった車いすを提供してもらい、清掃と丁寧な整備を行い、海外へ旅行される方の手荷物として、発展途上国で生活する障がい児・者、高齢者など車いすを必要とする方々へ手渡す活動を行っております。1998年5月の任意団体としての発足以来、現時点において、81ヵの国と地域に3004台の車いすを届けてまいりました。　　　　　　　　　　　　　　　　　　　　　　　　　　　　　　　　　　　　　　　　　　　　　　　　　・車いすを届けた海外の国々で「車いす整備・修理」講座を行い、届けた車いすが長く、安全に乗れるように指導します。これまでにネパールとインドネシアで行っています。</t>
  </si>
  <si>
    <t>2002年6月　　第1回パートナーシップ大賞受賞（パートナーシップサポートセンター）_x000D_
2007年11月　「日タイ障がい者フォーラム」をタイ・バンコクで開催（外務省）_x000D_
2008年5月　　「飛んでけ！車いす」の会設立10周年記念「手から手へ。 」出版_x000D_
2009年6月　　第1回「さっぽろ環境賞（循環型社会形成部門）市長賞受賞（札幌市より）_x000D_
2010年7月　　認定特定非営利活動法人に認定（期間2010年7月1日～2015年6月30日）_x000D_
2011年8月　　2000台目の車いすがベトナムに運ばれる_x000D_
2015年12月　読売福祉文化賞受賞_x000D_
2017年1月　　インドネシア・バリ島にて「車いす整備・修理」講座開催（JICA基金）_x000D_
2017年11月　ネパール・カトマンズにて「車いす整備・修理」講座開催_x000D_
2018年11月　JICA草の根協力事業『車いす整備・修理技術の移転 in Bali』（継続中）                     _x000D_
2019年1月　  シチズン時計より「シチズンオブザイヤー」賞を授与　　　　　　　　　　　　　　　　　　　　　　　　　_x000D_
2020年2月　　3000台目の車いすがベトナムに運ばれる（千歳ロータリークラブ様）</t>
  </si>
  <si>
    <t>会長　小熊　徳子</t>
  </si>
  <si>
    <t>平成12年09月</t>
  </si>
  <si>
    <t>一番愛されたい親から虐待を受けて、心がぼろぼろになって施設で暮らしている子供たちに、少しでも楽しみを与えてあげたい。子供は日本の宝です。幼少のころから苦労したこの子供達の中から、すばらしい人材が育ってくれるよう願いながら・・・。</t>
  </si>
  <si>
    <t>札幌市児童養護施設交流野外リクリエーションを春に実施</t>
  </si>
  <si>
    <t>夏目のり子歌謡教室の発表会の収益金の一部と募金活動で集めたお金を、札養研に子供達のために使ってくださいと持参したのが始まりで、初年度はスポーツ用具を購入したそうです。</t>
  </si>
  <si>
    <t>理事長　松久　三四彦</t>
  </si>
  <si>
    <t>札幌市内</t>
  </si>
  <si>
    <t>この法人は、消費者の被害の防止及び救済のための活動を推進し、消費者や消費者団体・関係諸機関・消費者問題専門家等との連携・相互援助を図りつつ、各種消費者被害の調査・研究・情報収集、並びに消費者被害の未然若しくは拡大防止、及び被害救済のための活動を行うことによって、消費者全体の利益擁護、消費者の権利の確立に寄与することを目的とする。</t>
  </si>
  <si>
    <t>１．差止請求活動_x000D_
　(1)事業者への申入れ及び照会_x000D_
　(2)差止請求訴訟_x000D_
２．消費者被害の未然防止の啓発活動_x000D_
　(1)消費者セミナー・各種シンポジウム開催_x000D_
　(2)啓発のための冊子及び動画の作成_x000D_
３．消費者啓発の情報発信_x000D_
　・ＳＮＳの利用_x000D_
　・ニュースレターの発行、チラシ作成</t>
  </si>
  <si>
    <t>・不当な約款、表示を使用する事業者に対し、改善の申入れ_x000D_
・消費者被害の通報の受付_x000D_
・道内各地において消費者啓発講座の開催_x000D_
・消費者被害の実態調査_x000D_
・若年者に対する消費者教育の講師派遣_x000D_
・各消費生活相談窓口へ消費者トラブル解決に役立つ冊子の作成及び消費者法の解説動画提供_x000D_
・消費者行政の施策に関する意見書の提出</t>
  </si>
  <si>
    <t>代表理事　石塚　祐江</t>
  </si>
  <si>
    <t>札幌市内、ＥＣＯカフェマイカップ</t>
  </si>
  <si>
    <t>平成15年02月</t>
  </si>
  <si>
    <t>札幌市及びその近郊のごみの発生抑制や減量・再利用・資源化などの事業推進と市民への意識啓発を図り、循環型社会の実現と地域環境の保全に資することを目的とする。</t>
  </si>
  <si>
    <t>循環型社会を目指すため、会員活動・自主事業・受託事業を行っています。_x000D_
主な活動として、①地域支援事業 ：地域交流の拠点として『ECOカフェマイカップ』を運営し、暮らしに役立つ情報の発信、ごみ減量をテーマにふれあいサロンの開催や環境に優しい商品の販売、ご家庭にある不用品を活用できるリユースコーナーを常設。また、桑園交流ネットワークの呼びかけ人として活動に参画。_x000D_
②容器包装簡素化事業：ノーレジ袋運動や容器包装ごみを減量するため、23団体と協力し活動しています。_x000D_
③ファイバーリサイクル事業：繊維製品（ファイバー）の再利用・再資源化の新たなシステム作りとして、8団体と協力し拠点回収やリサイクルきものバザーを開催しています。_x000D_
④札幌市リサイクルプラザ宮の沢の管理運営：指定管理者として、札幌市のごみ減量の意識啓発活動をする施設の管理運営をしています。_x000D_
⑤生ごみ講師派遣事業（ごみ減量実践ネットワーク受託事業）：生ごみの減量・堆肥化を指導する講師を派遣しています。※ＥＣＯな暮らしにＫＩＺＵＫＵ活動をしています。</t>
  </si>
  <si>
    <t>平成15年4月～札幌市リサイクルプラザ宮の沢の管理運営を受託（平成18年より指定管理者）、平成16年～2
0年環境省より「3Ｒ推進北海道大会」の企画運営業務受託、平成16年～札幌市ごみ減量実践活動ネットワークより「生ごみ減量講師派遣業務」を受託、平成17年～スリムネットフォーラムを受託、平成19年～さっぽろファイバーリサイクルネットワーク事務局、平成20年～21年北海道ノーレジ袋運動を進める連絡会事務局、平成21年～北海道容器包装の簡素化を進める連絡会事務局。　平成21年8月～『ＥＣＯカフェマイカップ』の運営、平成22年～桑園交流ネットワークの事務局、平成25年2月設立10周年記念シンポジウム開催。</t>
  </si>
  <si>
    <t>代表　長畑　仙太郎</t>
  </si>
  <si>
    <t>平成19年04月</t>
  </si>
  <si>
    <t>障がいのある人も、そうでない人も、幼児も、昔幼児だった人も、つまりは老若男女誰でも参加できる年一回の夢のステージを目指して、平成19年さっぽろ市民ミュージカルは設立しました。</t>
  </si>
  <si>
    <t>市内中心部の稽古場に毎週2回、合計4時間ほどの稽古を６ヶ月近くにわたって、様々な年齢、職業人々が取り組みます。内容は歌、ダンス、演技の三位一体となったミュージカル作品です。2時間近くの舞台を20～30人ほどで上演します。</t>
  </si>
  <si>
    <t>2017年　第10回となる記念作品「Iwish・・・十二の月の物語」では教育文化会館小ホールにて上演。10年間の活動というひとつの区切りを越えて、その後も毎年公演を続けています。</t>
  </si>
  <si>
    <t>委員長　萱野　智篤</t>
  </si>
  <si>
    <t>中央区（大通公園）</t>
  </si>
  <si>
    <t>平成15年04月</t>
  </si>
  <si>
    <t>このフェスタは平成１５年にフェアトレードに関心を寄せる市民が集まり、公共施設で開催したのが始まりです。その後、４年間にわたり、屋内の会場を使用して続けてきましたが「開放された場所で、より多くの方々にフェアトレードのことをしってもらいたい」と考えています。またチャレンジドと協力することで国内版フェアトレードの推進もすすめています。</t>
  </si>
  <si>
    <t>年に1回大通公園でのフェアトレードフェスタの開催。フェアトレードの普及全般</t>
  </si>
  <si>
    <t>平成１５年に公共施設で開催後毎年実施。平成１９年から大通公園でフェアトレードフェスタを実施しています。</t>
  </si>
  <si>
    <t>代表理事　小林　英嗣</t>
  </si>
  <si>
    <t>平成15年05月</t>
  </si>
  <si>
    <t>モエレ沼公園の理念や設計思想が正しく次代の子どもたちや市民に引き継がれ、いつまでも生き生きとした空間として活用されることを目標に活動を続ける。_x000D_
その活動は、①モエレ沼公園の魅力や価値を多くの人に伝える〈広報活動〉、②創造都市札幌の核のひとつとしてモエレ沼公園を活かす〈創造的活動〉、③札幌の環境保全のシンボルとしてのモエレ沼公園をより豊かにする〈環境活動〉を大きな柱として多彩な取組みを展開し、行政や他団体と協働のモデルケースを作る姿勢を持ちつつ、札幌の更なる文化的まちづくりに寄与することを目的とする。</t>
  </si>
  <si>
    <t>モエレ・ファン・クラブは、モエレ沼公園のあるべき姿を提言し続けるＮＰＯとして、市民や他の団体とも連携しながら、拡がりのある活動を行っています。_x000D_
1.展覧会、コンサート、各種講座などを開催しています。_x000D_
2.子どもたちの創造性を育むワークショップなどを開催しています。_x000D_
3.モエレ沼公園の環境を守り育て、将来を提言する活動をしています。_x000D_
4.モエレ沼公園を世界に向けて発信する書籍・グッズの開発、販売をおこなっています。</t>
  </si>
  <si>
    <t>2003年5月～9月 　市民向け連続講座の実施（全5回）2003年7月～8月 　展覧会「イサム・ノグチ展in ガラスのピラミッド」　実施
　_x000D_
2003年～2013年 　子ども対象ワークショップ、各種コンサート実施
　_x000D_
2004年～2013年　　行政・管理者との協議運営テーブル実施
　_x000D_
2005年6月 　　　　　「モエレ文庫」　企画編集出版
　_x000D_
2005年7月 　　　　　「モエレからうたが生まれる（谷川俊太郎氏を招いて）」実施
　_x000D_
2008年6月 　　　　　写真詩集「アクセスモエレ沼公園」　企画編集出版
　_x000D_
2010年～2011年 　札幌市から緊急雇用創出推進事業の受託
　_x000D_
2013年4月～11月　設立10周年記念事業として、「ログドラムをたたこう」「環境づくりＷＳ」「ログドラムをたたこう」の連続ワークショップ実施
　_x000D_
2013年11月17日　 設立10周年記念事業として、
「オンファロスの寄付を祝う会」　「安齊重男トークショー」実施</t>
  </si>
  <si>
    <t>理事長　鈴木　和彦</t>
  </si>
  <si>
    <t>石狩市生振（主に札幌市民が活動）</t>
  </si>
  <si>
    <t>平成21年06月</t>
  </si>
  <si>
    <t>この法人は、農業を支援し、都会に暮らす人々と農村に暮らす人々との交流を図る事業と高齢者や障害者に対し、農園を開放する事業を行い、人々が健やかに暮らせる地域社会づくりと福祉に寄与することを目的とする。</t>
  </si>
  <si>
    <t>近隣の農家の援農支援としてトラクターによる畑おこしや収穫の手伝いの実施、販売協力としておやふるはうす収穫祭での野菜の販売を行ってます_x000D_
市民農園の畑作りと野菜作りの指導を行っています。_x000D_
催事の開催　毎年_x000D_
4月開村式　市民農園の抽選会、割付や作付けの決定行っています_x000D_
8月夏祭り　ブルーベリー・トマトの収穫体験を行っています_x000D_
9月収穫祭　枝豆・じゃがいもなどの収穫体験や畑で取れた野菜を使ってのピザ作りやバーベキューなどを行っています_x000D_
11月漬物講習会　ニシン漬けや白菜漬けなどをジップロックに漬けます</t>
  </si>
  <si>
    <t>平成２０年１月おやふるはうす設立同年２月情報新聞「かわら版」創刊し会員募集開始する_x000D_
平成21年4月石狩市生振111-4に畑6000坪と倉庫を賃借し会員と野菜作りを始める主な作付けトマト・人参・じゃがいも・玉ねぎ・ピュアホワイト・枝豆・カボチャ・アスパラバス・大根・白菜・そば・ピーマン・ブルーベリーなど_x000D_
同年6月特定非営利活動法人を取得する_x000D_
平成22年市民農園を開放して利用者を募り6個人・団体（ライオンズクラブ・病院・幼稚園・障碍者施設・生活支援者・ボーイスカウト・高齢者施設ほか）が利用し現在に至る　_x000D_
昨年までの市民農園の利用者は延べ124個人・団体です_x000D_
平成27年より有機無農薬栽培を開始する（市民農園も同様）_x000D_
平成29年より畑を12000坪に拡大する</t>
  </si>
  <si>
    <t>理事長　丸山　光徳</t>
  </si>
  <si>
    <t>昭和49年12月</t>
  </si>
  <si>
    <t>昭和50年01月</t>
  </si>
  <si>
    <t>広く一般の人々に対して歩くスキーに親しむ機会を提供するとともに、歩くスキーの指導者の育成及び環境保全の普及に関する事業等を行い、もって、生涯スポーツとしての歩くスキーの普及と、市民の健康増進に寄与することを目的とする。</t>
  </si>
  <si>
    <t>多くの人々が、体力や技能に応じ、歩くスキーを健康維持増進、疾病予防回復、レクリエーションに活用できるように、支援します。また若い人たちや子供たちが、歩くスキーに親しむように、様ざまな機会や情報を提供すると伴に、このための指導者を育成します。_x000D_
さらに恵まれた自然に親しみ、環境を守り、その破壊を防ぐように、技術だけでなく、スポーツのマナーや環境保全の理念を普及します。</t>
  </si>
  <si>
    <t>昭和49年、北海道トリム札幌歩くスキークラブとして設立した。
_x000D_
昭和51年、第1回北海道民・札幌民区スキーの集いを開催した。この後、北海道内各地の歩くスキー大会、スキーマラソン大会の発足に寄与した。
_x000D_
昭和52年、北海道歩くスキー協会と改称した。_x000D_
昭和58年、障害者歩くスキーの集いを開催した。_x000D_
昭和63年2月、札幌国際スキーマラソンの共同主催者となった。
_x000D_
平成9年、北海道内の歩くスキー、クロスカントリースキー大会の協議組織である北海道歩くスキー協議会の発足に寄与した。_x000D_
平成27年3月、北海道歩くスキー協会創立40周年記念、第40回北海道民・札幌市民歩くスキーの集いを開催した。_x000D_
平成27年7月27日仮認定決定。</t>
  </si>
  <si>
    <t>代表　竹田　洋一</t>
  </si>
  <si>
    <t>札幌市こども人形劇場こぐま座・札幌市こどもの劇場やまびこ座</t>
  </si>
  <si>
    <t>昭和37年01月</t>
  </si>
  <si>
    <t>人形劇の充実と向上、普及をはかる。</t>
  </si>
  <si>
    <t>「札幌人形劇祭」「人形劇フェスティバルさっぽろ冬の祭典」等の開催。
_x000D_
人形劇・パネルシアターなど各種研究会を企画実施。</t>
  </si>
  <si>
    <t>さっぽろまつり公演_x000D_
人形劇フェスティバルさっぽろ冬の祭典
_x000D_
人形劇キャラバン_x000D_
札幌人形劇祭　など
_x000D_
・2001年度「北海道文化賞」_x000D_
・2005年度「文部科学大臣表彰・地域文化功労者」</t>
  </si>
  <si>
    <t>理事長　東原　俊郎</t>
  </si>
  <si>
    <t>平成12年03月</t>
  </si>
  <si>
    <t>平成09年01月</t>
  </si>
  <si>
    <t>自らが社会の担い手となって、社会福祉、文化芸術、スポーツ、社会教育、清掃活動、安全活動等の事業を通じて地域の人たちと関わることにより、青少年の育成、生涯学習及びまちづくりの推進を図り、社会全体に貢献していくことを目的としています。</t>
  </si>
  <si>
    <t>・少年野球をはじめとしたスポーツを通じた青少年育成活動_x000D_
・児童養護施設や老人介護施設訪問による交流会の実施_x000D_
・文化、芸術活動やスポーツ、地域のイベント活動の支援</t>
  </si>
  <si>
    <t>5月　児童養護施設訪問、車いすバスケットボール大会の支援　_x000D_
6月　車いすマラソン大会の支援_x000D_
7月　農場でのきのこ栽培、福島の子どもたちとの交流活動8月　各地域のでのイベント支援　_x000D_
9月　保育園園児との交流　_x000D_
10月　車いすバスケットボール大会の支援　_x000D_
12月　児童養護施設訪問　　　　　　　　　　_x000D_
5月～10月　少年野球大会の支援などの活動を行なっています。</t>
  </si>
  <si>
    <t>会長　船越　一珠子</t>
  </si>
  <si>
    <t>豊平区東月寒地区内</t>
  </si>
  <si>
    <t>平成17年10月</t>
  </si>
  <si>
    <t>子どもたちを取り巻く環境が少子化、学校週5日制により大きく変化し、地域の果たす役割が益々重要となっていることに鑑み、地域の多様な団体等が参加・協力・連携して、私たちのまち東月寒の子どもたちを支え合うことを目的に参加により明るく住みよい街づくりをめざし、福祉の増進と連帯意識の高揚を目的としています。</t>
  </si>
  <si>
    <t>下記の3つの基本目標をめざして、各種事業や啓発活動を行っています。
_x000D_
（1） 子どもたちが安心して住めるまち
　　　_x000D_
子どもたちを犯罪、交通事故などから守り、安全で安心して暮らせるまちを目指します。
_x000D_
（2） 子どもたちにやさしいまち
　　　_x000D_
子どもたちを温かく見守り、励まし、あいさつのとびかうまちをめざします。また、環境にもやさしいまちをめざします。
_x000D_
（3） 豊かな子ども時代を過ごすことのできるまち
　　　_x000D_
地域の行事、体験事業、子ども会活動など、子どもたちが年齢や世代を超えて幅広く交流しふれあうことを通じて、豊かな子ども時代を過ごすことのできるまちをめざします。</t>
  </si>
  <si>
    <t>平成17年　・「童子だより」発行（以降、毎年1回発行）
_x000D_
平成18年　_x000D_
・子ども達を対象に田植え、稲刈りを行う「農作業体験事業」を実施（以降、毎年実施）_x000D_
・国道36号線に沿って、児童、住民、沿線企業の参加による「東月寒交通安全街頭啓発」を実施（以降、毎年実施）_x000D_
・子どもたちを見守る「防犯パトロール」の実施（以降、平成23年度まで実施、平成24年度以降は町内会連合会の所管）_x000D_
平成19年　・小学生と住民、大学生がイグルーを共同してつくる「イグルーをつくろう！」を実施（以降、毎年実施）
_x000D_
平成20年　・地域や身近にある施設等で子供たちが普段学ぶ機会の少ない知識や社会問題について学ぶ機会をつくる「未来発見ツアー」を実施（以降、毎年実施）
_x000D_
平成21年　・子どもたちや高齢者まで幅広い地域住民が交通安全を身近に感じながら楽しく学べる「交通安全フェスタ」を実施
_x000D_
平成22年　・「交通安全フェスタ」を「セーフティフェスタ」と改称し、内容も拡大・充実化して実施（以降、毎年実施）_x000D_
また、上記のほかにも、町内会連合会をはじめとする地域の事業などへの協力を行っています。</t>
  </si>
  <si>
    <t>会長　大髙　英男</t>
  </si>
  <si>
    <t>篠路コミュニティセンター</t>
  </si>
  <si>
    <t>昭和61年12月</t>
  </si>
  <si>
    <t>明治35年から昭和9年までの33年間、篠路地区で演じられていた「篠路農村歌舞伎」を保存、伝承するため。</t>
  </si>
  <si>
    <t>篠路中央保育園の園児が演じる「篠路子ども歌舞伎」を年間3～4回公演</t>
  </si>
  <si>
    <t>昭和61年4月から今日まで公演回数は数多く、平成12年11月には北海道地域文化選奨に指定された。</t>
  </si>
  <si>
    <t>会長　岩澤　文夫</t>
  </si>
  <si>
    <t>平成06年03月</t>
  </si>
  <si>
    <t>平成06年04月</t>
  </si>
  <si>
    <t>子供たちの健全育成を目的とし、友情を培い、地域との交流を深めるものとする。</t>
  </si>
  <si>
    <t>・太陽グループ旗争奪少年軟式野球大会を皮切りに5月から10月まで少年軟式野球大会を開催　　　　　　</t>
  </si>
  <si>
    <t>・毎年、8回の少年軟式野球大会を開催、その間、護国神社の子供神輿、豊平川清掃活動など実施</t>
  </si>
  <si>
    <t>会長　石田　勝朗</t>
  </si>
  <si>
    <t>麻生野球場、太陽グループ野球場、その他</t>
  </si>
  <si>
    <t>昭和58年02月</t>
  </si>
  <si>
    <t>昭和58年08月</t>
  </si>
  <si>
    <t>1．少年の健全育成を計る。
_x000D_
2．日常の交流試合に恵まれない地域のチームにその機会を提供し、さらに多くの少年達に野球の楽しさを理解させる。_x000D_
3．野球を通じてより多くの少年達が友情をつちかい、正しいマナーとルールを学び、体力、技術の向上を計る。_x000D_
4．軟式野球の振興を計る。</t>
  </si>
  <si>
    <t>1．北海道少年軟式野球選手権大会
_x000D_
2．全道少年軟式野球選抜大会_x000D_
3．北海道・東北各県相互親善交流試合_x000D_
4．その他の目的達成のために必要と認めた事業</t>
  </si>
  <si>
    <t>昭和58年8月から平成25年12月まで上記大会を全道予選、全道大会を調整、運営、企画、開催し、平成25年度で、選手大会は31回、選抜大会は21回を迎えました。又北日本大会も10回が終了しました。</t>
  </si>
  <si>
    <t>会長　大石　雅</t>
  </si>
  <si>
    <t>太陽グループ少年野球場（札幌市北区）</t>
  </si>
  <si>
    <t>昭和53年02月</t>
  </si>
  <si>
    <t>昭和53年05月</t>
  </si>
  <si>
    <t>札幌市に居住する少年少女に対し、野球技術の基本や、チームワークの大切さなどを教え、野球というチームスポーツを通して、心身の健全な育成を図ると共に、地域社会活動への参加により、奉仕の精神を養うなど、スポーツの振興と青少年の健全育成に寄与すること。</t>
  </si>
  <si>
    <t>・少年野球大会の開催_x000D_
・指導者講習会の実施</t>
  </si>
  <si>
    <t>加盟148チーム（平成29年度）が参加し、各区少年野球連盟の予選を勝ち抜いた代表チーム（10区から16～32チーム）が一同に会し（大会名以下）、野球を通じて親睦、社会の規律等を学びあう相互交流を毎年行っています。―主な大会―・総合開会式（加盟全チーム、全選手が参加　場所：つどーむ）・少年軟式野球札幌選抜大会（代表32チーム　円山球場、太陽グループ少年野球場）・太陽グループ旗争奪少年野球大会（代表24チーム　太陽グループ少年野球場）・2018FBC U-12札幌地区予選（代表16チーム　太陽グループ少年野球場）・少年野球札幌選手権大会（代表32チーム　麻生球場、太陽グループ少年野球場）・札幌市長杯争奪少年野球大会（代表16チーム　各区球場、太陽グループ少年野球場）</t>
  </si>
  <si>
    <t>会長　岩崎　満</t>
  </si>
  <si>
    <t>札幌市及びその近郊</t>
  </si>
  <si>
    <t>昭和26年09月</t>
  </si>
  <si>
    <t>学生柔道の健全な発展育成と加盟校相互の親睦を図る事を目的とする。</t>
  </si>
  <si>
    <t>・学生柔道の強化育成_x000D_
・加盟校間の連絡及び加盟団体との連携_x000D_
・学生柔道の振興に関する研究・調査・企画
_x000D_
・各種大会の開催及び講習会の実施_x000D_
・その他、本連盟の目的達成に必要な事業</t>
  </si>
  <si>
    <t>北海道学生柔道優勝大会（男子・女子）の開催
_x000D_
北海道学生柔道体重別選手権大会（男子・女子）の開催
_x000D_
北海道学生柔道体重別団体優勝大会の開催_x000D_
北海道学生柔道新人大会の開催_x000D_
北海道学生女子柔道階級別選手権大会の開催　ほか</t>
  </si>
  <si>
    <t>会長　立石　喜裕</t>
  </si>
  <si>
    <t>国際交流・協力団体間の親睦と相互理解を図り、情報の交換・公開や一般市民の理解を基調とする共同活動を通じ、日本国内において一般市民の「国際理解」を促すとともに「内なる国際化」を基本とした社会の実現に寄与することを目的とする。</t>
  </si>
  <si>
    <t>①会員相互の情報交換による協力体制の強化_x000D_
②一般市民への国際理解啓発活動の共同実施_x000D_
③行政や他機関と各団体との接点としての窓口機能_x000D_
④行政等に対する国際化推進のための方策の提言_x000D_
⑤その他協議会の目的達成のために必要な活動</t>
  </si>
  <si>
    <t>【2017年度活動実績例】_x000D_
①ジェンダーを語ろう～世界から私たちの暮らしまで～_x000D_
日時：2017年6月18日(日)15：20～18：30_x000D_
内容：持続可能な開発目標（ＳＤＧｓ）の一つである「ジェンダーの平等を達成し全ての女性と女児のエンパワーメントを図る」を受け、国内外のジェンダーの現状と課題を把握し自分たちの周りの課題に気づくことを目標に開催された。_x000D_
講師：平野恵子氏（北海道教育大学函館校特任准教授）　木村侑加氏（ガールスカウト日本連盟）_x000D_
参加人数：28名_x000D_
②「国際協力って何？」～ＮＧＯのこれまで、そしてこれから～_x000D_
日時：2018年1月13日(土)13：30～16：30_x000D_
内容：北海道のＮＧＯ活動に係わる人たちや一般の人に対して国際協力とは何か？ＮＧＯとは何か？について原点に立ち返ってみつめなおし、これからの国際協力やＮＧＯのあり方をゲスト谷山氏とともに意見交換をした。_x000D_
ゲスト：谷山　博史氏（日本国際ボランティアセンター　ＪＶＣ代表理事）_x000D_
参加人数：約70名</t>
  </si>
  <si>
    <t>代表　岩井　由利子</t>
  </si>
  <si>
    <t>札幌市を中心に道内全域</t>
  </si>
  <si>
    <t>平成20年11月</t>
  </si>
  <si>
    <t>当団体は「盲導犬と音楽のコラボ」をテーマに、盲導犬に対する市民の理解を深めることを目的に設立されました。</t>
  </si>
  <si>
    <t>補助犬がいることが当たり前の社会を目指し、コンサートと盲導犬セミナー、体験歩行から成るイベントを開催しています。身体障害者補助犬法（平成１４年施行、２０年改正）、障害者差別解消法（２６年施行）等により補助犬の受け入が義務化されました。しかし充分に浸透・普及していない現状を打開するため草の根活動を実施しています。</t>
  </si>
  <si>
    <t>盲導犬ＰＲイベントを多数開催（拓北・あいの里地区センター、札幌医科大学附属病院、札幌全日空ホテル、砂川市立病院、砂川市地域交流センター、イトーヨーカドー琴似店、剣淵町アルパカ牧場、月形町わくわくの杜、他）</t>
  </si>
  <si>
    <t>会長　日田　和儀</t>
  </si>
  <si>
    <t>札幌市内全域　苫小牧　函館　釧路</t>
  </si>
  <si>
    <t>平成10年02月</t>
  </si>
  <si>
    <t>女子野球の普及、オリンピック種目への目標</t>
  </si>
  <si>
    <t>・毎年、年一度8月に東京で開催される全日本女子軟式野球選手権大会出場権の北海道予選大会　　　　　　_x000D_
・小中学生の女子野球普及に向け体験会開催_x000D_
・ガールズベースボールフェスティバル開催　　　　　　　_x000D_
・北海道大会　　　　　　　　　　　　　　</t>
  </si>
  <si>
    <t>小学生の女の子たちは少年野球に入団する選手が増加とともに、中学生から一般のチームに（女子野球）入部者が増加。_x000D_
北海道を代表とする選手が世界大会にチャレンジし活躍する選手がたくさん出てきている。　　</t>
  </si>
  <si>
    <t>理事長 綿路　昌史</t>
  </si>
  <si>
    <t>札幌市北区篠路町福移（篠路福移湿原、あいの里公園トンネウス沼）石狩郡当別町ビトエ</t>
  </si>
  <si>
    <t>平成09年06月</t>
  </si>
  <si>
    <t>平成08年06月</t>
  </si>
  <si>
    <t>・札幌市内に残った唯一の湿原である篠路福移湿原の保全・保護活動_x000D_
・身近で貴重な自然の保全・保護活動を通して地域住民との親睦を図ること。
_x000D_
・身近で貴重な自然を未来の子どもたちに引き継ぐこと。</t>
  </si>
  <si>
    <t>湿原および身近な自然の保全対策
_x000D_
・ナショナルトラスト運動（湿原買取一坪基金篠路福移湿原の買上げ　33筆7,468 ㎡ 管理地　36筆
10,523 ㎡[2013年3月31日現在]）_x000D_
・残土受入差止等請求訴訟（12回口頭弁論の後、結審中）
湿原再生の調査・研究活動_x000D_
・石狩川下流当別地区自然再生モニタリング（2008年～）札幌旭丘高校生物部
_x000D_
・湿原植物の再生実験_x000D_
・湿原観察会（夏・秋）
_x000D_
自然ふれあい活動
_x000D_
・茨戸川「とんぼの学校」「かえるの学校」整備（草刈り・カヌー）_x000D_
・ヘイケホタルの飼育・保全活動 拓北高校理科研究部
_x000D_
・あいの里公園での活動（昆虫採集教室、トンネウス沼大掃除）</t>
  </si>
  <si>
    <t>2005年6月 第4回　「川の日」ワークショップ北海道in釧路 グランプリ受賞_x000D_
2006年12月 日本ナショナルトラスト協会助成金決定　(3年間800万円)_x000D_
2007年7月 第10回　「川の日」ワークショップin東京 グランプリ受賞
_x000D_
2008年4月 第10回　日本水大賞・環境大臣賞受賞_x000D_
2009年7月 第8回　「川の日」ワークショップ北海道in札幌 実行委員会運営
_x000D_
2010年11月 第2回　さっぽろ環境賞 環境保全・創造部門 受賞_x000D_
2011年3月 日本水環境学会水環境文化賞 受賞
_x000D_
2011年9月 第4回 いい川・いい川づくりワークショップ 準グランプリ受賞</t>
  </si>
  <si>
    <t>理事長　横山　清</t>
  </si>
  <si>
    <t>札幌市南区澄川（都市環境林）、千歳市（国有林）</t>
  </si>
  <si>
    <t>平成14年06月</t>
  </si>
  <si>
    <t>平成14年07月</t>
  </si>
  <si>
    <t>森林の保護・育成及びこれらに関連する事業を行い、地球温暖化防止に寄与することを目的とする。</t>
  </si>
  <si>
    <t>1．台風被害森林の地拵・植栽・育林・保全活動_x000D_
2．森林の間伐・除伐・穴地の植栽など環境整備活動_x000D_
3．森林の資源活用活動_x000D_
4．学童の森林学習活動支援等森林の普及・啓発活動</t>
  </si>
  <si>
    <t>平成14年7月より　札幌市より有明第二、澄川、西野都市環境林が提供されて育林作業が始まり現在も継続中。_x000D_
平成14年より「森の体験、共生の森の学習、育林保全活動の経験」を目的として教育支援活動を続けている。特に札幌工科専門学校、札幌市幌南小学校支援は毎年継続して実施している。_x000D_
平成16年3月より　札幌市西区「斉藤りんご園」は、三角山西麓に位置し、緑地保存の意義から剪定、摘花、摘果、袋掛け、葉摘みと多岐な作業を支援している。_x000D_
平成17年より野幌森林公園は平成16年9月の台風で大きな被害を受け、森林再生プロジェクトがスタート。当協会も42林班か小班（1.87ha）の地拵、植樹、育林作業に参加継続中。_x000D_
平成18年より支笏湖周辺国有林は平成16年台風18号で甚大な被害を受け、復興支援事業が始まった。当会はセブン・イレブン、コンサの森、道新ぶんぶんの森、復興の森の植樹、育林活動を継続中。_x000D_
平成21年6月より　㈱北海道CGCと石狩森林管理署は市5456林班の森づくり協定を結び、当会は支援・協力をしている。また、平成23年から5334林班（CGC烏柵舞の森）の育林事業が始まり、継続中。</t>
  </si>
  <si>
    <t>会長　柴　元博</t>
  </si>
  <si>
    <t>東札幌地区</t>
  </si>
  <si>
    <t>昭和36年02月</t>
  </si>
  <si>
    <t>東札幌の発展と福祉の推進を図り、住み良い地域社会を建設する。</t>
  </si>
  <si>
    <t>東札幌地区に居住する約6,000世帯が加入する団体であり、防犯パトロールや交通安全に対する街頭啓発などの安全・安心なまちづくり活動のほか、地域の子どもの健全育成やお年寄りの見守り活動などに取り組んでおり、住み良い街づくりを進めるとともに地域内の絆をより一層深める活動を進めている。</t>
  </si>
  <si>
    <t>平成25年度の主な活動
　_x000D_
・交通安全「早朝街頭啓発」
　_x000D_
・防犯夜間パトロール
　_x000D_
・イベント「防火のつどい・花火の夕べ」の実施
　_x000D_
・少年少女マラソン大会
　_x000D_
・雪合戦大会
　_x000D_
・敬老祝い品の贈呈
　_x000D_
・防災実技研修</t>
  </si>
  <si>
    <t>代表世話人　寺嶋　忠雄</t>
  </si>
  <si>
    <t>札幌市内、北海道内</t>
  </si>
  <si>
    <t>連絡会は、市民団体・事業者・地方自治体・国が連携して、北海道内で使用される容器包装の簡素化を進め、循環型社会の実現と地域環境の保全を図ることを目的とする。</t>
  </si>
  <si>
    <t>容器包装の簡素化を市民に伝えるため、『容器包装簡素化展示』を2010年より北海道庁・札幌市役所・イオンモール札幌苗穂・コープさっぽろ（食べる・たいせつフェスティバル）などで開催。行政・流通・メーカー等の取組み展示のほか、容器包装簡素化大賞、レジ袋削減運動報告や風呂敷の活用等を展示、アンケートの実施。年に1回、活動に活かすために、容器包装簡素化・3Ｒについての勉強会を開催。2011年から 『容器包装簡素化大賞』の実施、2012年から受賞商品の展示セットを北海道内に貸出し、『容器包装の簡素化』を普及することでごみ減量と資源の有効利用について啓発している。</t>
  </si>
  <si>
    <t>2010年～：容器包装簡素化展示を北海道・札幌市役所で開催し市民アンケートを実施。容器包装簡素化事例集作成2011年～：容器包装簡素化展示を北海道・札幌市役所で開催、『容器包装簡素化大賞」実施、シンポジウム開催2012年～：容器包装簡素化展示を北海道・札幌市役所で開催、『容器包装簡素化大賞」実施、展示セット貸出、シンポジウム
開催_x000D_
2013年～：容器包装簡素化展示を北海道・札幌市役所で開催、『容器包装簡素化大賞」実施、展示セット貸出、シンポジウム
開催</t>
  </si>
  <si>
    <t>代表　村場　辰彦</t>
  </si>
  <si>
    <t>札幌を中心に北海道及び海外</t>
  </si>
  <si>
    <t>和太鼓を柱に据え、里神楽、日本舞踊、人形浄瑠璃、わらべうた遊びなど日本古来より伝わる芸能を土台として、現代に生きずく「北海道の芸能」を創造していく団体です。また子どもから育て世代を超えて引き継がれる芸能をめざし、そのことは地域の人と模索し共に創造し、挑戦をする、力強く根をはって生きていく事だと考え設立いたしました。</t>
  </si>
  <si>
    <t>地域の獅子舞の門付・お祭り・保育園・幼稚園・学校公演・ホールでの公演　など　　</t>
  </si>
  <si>
    <t>子どもの劇場やまびこ座の公演は設立当初から毎年行い、今年で15回目を迎えます。昨年は1600人を超えるお客様に支えられ大成功でした。昨年の12月7日から今年の1月19日まで北海道立近代美術館の企画展に出展依頼があり4000人以上の来場があったそうです。美術部門でも期待が広がってきています。雪まつりでもSTVのステージ、特にJCOMのステージでは歓声が上がるほど盛り上がりました。2011年3月アメリカ公演・5月大船渡市における東日本大震災復興支援コンサート・昨年8月インドの貧しい子どもたちの学校への公演など挑戦が続き多くのことを学びました。</t>
  </si>
  <si>
    <t>会長　板垣　俊夫</t>
  </si>
  <si>
    <t>札幌市白石区白石東地区内</t>
  </si>
  <si>
    <t>平成18年03月</t>
  </si>
  <si>
    <t>平成18年04月</t>
  </si>
  <si>
    <t>白石東地区の住民団体、各種団体、学校等が、連携・協力し、当地区を住みよいまちにしていくことを目的とする。</t>
  </si>
  <si>
    <t>地区内の町内会や各種地域団体が連携して、安全まちづくり、世代交流、地域情報発信、環境・美化の4つの事業を行っています。
_x000D_
特に、環境・美化の観点では、地域の皆さんが利用するサイクリングロードのトンネル内をタイルアートの壁画によって、きれいな明るい空間にすることにより、落書きや犯罪を防止し、地域の魅力を高めようと、サイクリングロードトンネルにモザイクタイルアートを制作しています。制作に参加した地域の方々が、制作を通じた達成感や連帯感を共有し、世代間を超えた交流が図られ、まちづくり活動として大きな成果となっています。</t>
  </si>
  <si>
    <t>○安全まちづくりプロジェクト：児童の下校時の安全確保や地域の防犯対策のため、平成18年から
白石東青色パトロール隊によるパトロールを実施するほか、高齢者の交通安全教室を開催。
_x000D_
○世代交流プロジェクト：子どもからお年寄り、子育て世代と地域の方々など多世代が交流する事
業として「みんなであそぼう！at白石南公園」、「厚別川緑地の秋を楽しむ会」などを開催。　
_x000D_
○情報発信プロジェクト：白石東まちづくり通信などを発行し、まちの情報を提供。
_x000D_
○環境・美化プロジェクト：地区内の専門学校と町内会が連携した一斉清掃活動のほか、平成21年
度から毎年、サイクリングロードのトンネルの壁面にモザイクタイルアート（壁画）を制作。</t>
  </si>
  <si>
    <t>代表　大村　東生</t>
  </si>
  <si>
    <t>札幌市全域</t>
  </si>
  <si>
    <t>平成19年06月</t>
  </si>
  <si>
    <t>1. 乳がんの早期発見・早期診断・早期治療のための啓発運動の促進。
_x000D_
2. 乳がん患者の就業および生活維持のための支援活動の促進。_x000D_
3. 医療者・患者及びその家族・一般市民の交流の場の形成。</t>
  </si>
  <si>
    <t>1. 本会の目的を達成するために必要な諸機関、組織の連携を強める活動。_x000D_
2. 本会の目的を広く社会に広報する活動。
_x000D_
3. 本会への参加者および協力者を増やすための活動。
_x000D_
4. 本会の目的を達成させるためのイベントの開催やそれに対する協力にかかわる活動。
_x000D_
5. その他上記に付帯する創意工夫に満ちた活動。</t>
  </si>
  <si>
    <t>平成19年8月～　毎年夏に札幌都心にて啓発イベントを開催
_x000D_
平成24年2月～　毎年2月にがんと就労を考えるイベント「ワーキング・サバイバーズ・フォーラム」を開催
_x000D_
平成20年～　乳がんの検診体験イベントを多数開催
_x000D_
平成20年～　乳がんにかかわる啓発のための研修、イベント、コンサート等、多数開催</t>
  </si>
  <si>
    <t>代表理事　吉野　正敏</t>
  </si>
  <si>
    <t>札幌市、石狩・後志・空知管内</t>
  </si>
  <si>
    <t>平成15年10月</t>
  </si>
  <si>
    <t>●少子高齢化が進行する社会の中で子育てや教育環境は様々なひずみが発生しています。とりわけ過度な受験競争等による不登校生12万人・高校中退者8万人やいじめ・ニートなどが深刻です。又、発達障がい児童の学び方も問われています。　●このような現実に対して、「北海道自由が丘学園」は”子ども達が学びの主人公”の理念を掲げ、地域や各団体・個人などとの連携による市民立型の『人間形成的（全人）教育・学び舎づくり』を推進してきました。</t>
  </si>
  <si>
    <t>＜柱とする教育内容＞
_x000D_
①偏差値に拠らない自発・体験型授業、②表現活動や物作り重視、③人間科、地球に生きる科、やってみる科等の総合学習や農業実習・食育など。　＊いずれも生徒達の主体的参画を重視。_x000D_
＜主な教育実践＞
_x000D_
◆一人ひとりへのサポート：各人が判る基礎科目、参加体験型プロジェクト、多彩な総合学習、ミーティング重視　◆多様な連携・実践：教育大の年4－5回・毎1週間の総合型授業、市内各大学生の実習受入、常設農業体験先/余市他　◆行事・運営：入学のつどい、地域実習、修学旅行、アウトドア/登山・サマーキャンプ、生徒参加/日直・企画・運営</t>
  </si>
  <si>
    <t>＜沿革＞（元々、ＮＰＯ法以前に発足。新しい教育・学び舎づくりを掲げ、実践を開始し持続中です）・1986年に研究会発足、91年「つくる会」、95年「設立委員会」に改組し”子ども達が主人公＝主体者”の活動展開。　・1977年：夕張市と協定書締結、廃校舎を利用した民間自主的学校「北海道自由が丘学園」を98年スタート。　・2003年：本部兼実践施設を札幌に入手。スクール移転＋学童型「子ども館・文化センター」開設。　・2004年：実践記録「陽はまた昇る」刊行。08年10周年「湯川れい子ﾄｰｸ”音楽と平和”」。13年15周年「講演＆交流」、認定ＮＰＯ法人格取得。_x000D_
＜普及・協同活動＞◇ヒューマントラスト運動～市民・団体との連携：教育大釧路校/毎年実習、余市教育福祉村/継続的農業実習、道民教・札幌子育てﾌｪｽﾀ実行委員、小樽の学校法人との連携など。　◇各種集会/独自企画、相談会/月次・都度、通信「教育のフロンティア」、書籍発行。　◇「エコハウス（スクール）」：自然エネルギー導入/木質ﾊﾞｲｵﾏｽ・ｿｰﾗｰﾊﾟﾈﾙで約70%のCO2削減中。地域公開＝ｻﾃﾗｲﾄ。2010年/北海道「グリーン・ビス認定事業所」、12年/札幌市「環境賞」表彰。</t>
  </si>
  <si>
    <t>会長　栗城　みはる</t>
  </si>
  <si>
    <t>北海道クリスチャンセンター　札幌市内　北海道内　ほか</t>
  </si>
  <si>
    <t>昭和25年05月</t>
  </si>
  <si>
    <t>YWCAはキリスト教を基盤に、世界の女性が言語や文化を超えて力をあわせ、女性の社会参画を進め、人権や健康や環境が守られる平和な世界を実現する国際NGOです。１８５５年英国で始まり、今では日本を含む１２０あまりの国と地域で、約２５００万人の女性たちが活動しています。札幌YWCAは、キリスト教の基盤にたち女性と青少年の力を育て、すべの人々にとっての正義・平和・人間の尊厳の自由、持続可能な環境を実現することを目的としています。</t>
  </si>
  <si>
    <t>１．女性のエンパワメント及び社会参画を推進する事業　２．子ども及び青少年の権利を守り、発達を支援する事業　３．生涯教育を推進し、人材を養成する事業　４．非暴力による平和な社会の実現を目指す事業　５．持続可能な環境づくりを目指す事業　６．国際理解を推進し、多文化共生社会の実現を目指す事業　７．思想の自由、信教の自由および言論の自由を尊重し、擁護する事業８．高齢者、障碍者等、支援を必要とする人々に対する地域福祉事業　等</t>
  </si>
  <si>
    <t>最近の主な活動は、次のとおりです。■２０１０年５月　フォローアップスクール事業：不登校、ひきこもりぎみの小・中・高校生を「学校に戻れるようにサポートする」活動などで、学校との連携、共働を行っています。札幌市フリースクール等民間施設事業補助金が交付されています。　■チャリティーバザーの実施（毎年６月）　■富良野養護施設への訪問活動　■札幌市内高齢者施設への訪問活動　■ピースアクション：憲法をまもり、「核」否定の思想に立ち、平和な社会実現するために活動しています。憲法カフェの実施（年４～６回）　■Y’s Café　コミュニティーカフェを２００４年６月に立ち上げ、現在１２年目を迎える。ボランティアで運営しています。</t>
  </si>
  <si>
    <t>会長　天野　克彦</t>
  </si>
  <si>
    <t>平成23年01月</t>
  </si>
  <si>
    <t>平成23年02月</t>
  </si>
  <si>
    <t>私たちの北海道、そして札幌を文化薫るまちとして定着させ、今までにない生の音楽を通じたムーブメントを地域密着で生み出し、北海道の音楽文化の振興、観光の振興、未来を担う青少年の人材育成を促し、音楽を通じた、まちづくりに貢献することを目的とする。</t>
  </si>
  <si>
    <t>・ 地域に根ざしたコンサートの開催。_x000D_
・ 福祉施設、病院などの訪問コンサートを開催し、音楽を通じて地域社会との交流を深める。_x000D_
・ 未来を担う子ども達と音楽を通じた交流を深める。_x000D_
・ 大人から子どもまでファミリーで楽しめるジャンルを越えた音楽ムーブメントの確立。</t>
  </si>
  <si>
    <t>MAYUMIコンサートシリーズ２０１１　４月１３日（水）Vol.11　７月５日（火）Vol.12　１２月１３日（火）Vol.13_x000D_
MAYUMIコンサートシリーズ２０１２　４月４日（水）Vol.14　７月４日（水）Vol.15　１１月２７日（火）Vol.16_x000D_
MAYUMIコンサートシリーズ２０１３　４月２３日（火）Vol.17　７月１０日（水）Vol.18　１０月２日（水）Vol.19_x000D_
MAYUMIコンサートシリーズ２０１３　１月７日（火）Vol.20　２０回記念スペシャルガラコンサート_x000D_
MAYUMIコンサートシリーズ２０１４　５月６日（火・振）Vol.21　８月２５日（月）Vol.22　１１月２７日（木）Vol.23_x000D_
ミュージック・ギフト・プロジェクト２０１５（５月２０日（水）、６月１８日（木）、７月３０日（木）、１０月１５日（木）、_x000D_
１２月２４日（木）、３月３日（木）　※１月２１日（木）　NEW YEAR　ミュージックギフト　コンサート）_x000D_
ミュージック・ギフト・プロジェクト２０１６（５月２６日（水）、６月２１日（火）、７月１１日（月）、９月２２日（祝・木）、_x000D_
１２月１２日（月）、３月１４日（火）　_x000D_
ミュージック・ギフト・プロジェクト２０１７　6/19（月）、8/28（月）、9/21（木）、12/22（金）、3/13（火）_x000D_
ミュージック・ギフト・プロジェクト２０１８　5/22（火）、7/20（金）、10/4（金）、12/11（火）、3/4（月）</t>
  </si>
  <si>
    <t>理事長　木村　里美</t>
  </si>
  <si>
    <t>札幌市、石狩・後志地域</t>
  </si>
  <si>
    <t>平成10年06月</t>
  </si>
  <si>
    <t>すべての子どもの基本的人権が守られることを願い、「安心して」「自信を持って」「自由に」生きることができるように子どもたちを支援するとともに、子ども支援のコミュニティ・ネットワークが広がることを目指し活動することを目的としています。</t>
  </si>
  <si>
    <t>子どもが自分の心とからだを大切にして生きていくための人権意識を育てると同時に、いじめ、虐待、性暴力、誘拐といったさまざまな暴力から子ども自身が自分を守るための、CAP（子どもへの暴力防止）プログラムの提供。保育園・幼稚園や学校、支援学校、児童養護施設などでCAPワークショップを実施しています。その他、子どもの権利擁護や暴力防止に関する講座・研修などを開催。</t>
  </si>
  <si>
    <t>1998年6月にボランティア市民グループとして発足、2017年3月にNPO法人取得。_x000D_
2017年3月末時点で5,255回のワークショップを実施。8万1千人の子どもと4万7千人のおとなの方々にワークショップを届けました。</t>
  </si>
  <si>
    <t>代表　金内　芳雄</t>
  </si>
  <si>
    <t>中央区（桑園地区）</t>
  </si>
  <si>
    <t>平成22年01月</t>
  </si>
  <si>
    <t>ネットワークは、桑園地区に住みまたは活動している市民・市民団体（NPO）・事業者・行政が連携して、桑園地区が楽しく安心して暮らせるまちづくりを目指し活動することを目的とする。</t>
  </si>
  <si>
    <t>・目的に賛同した桑園地区に住んでいる人・活動する市民・団体・事業者であれば、メンバーの推薦でどなたでも参加できます。_x000D_
・活動は、企画を提案した有志メンバーによりプロジェクトチームを結成し、運営はリーダー（責任者）を置き、チーム毎の独立採算で活動します。_x000D_
会としては、毎月1回の全体会議を行い、会員の情報交流、プロジェクト活動の推進、インターネットでのメーリングリストを活用した情報提供を行い、桑園地区のコミュニティーの活性化を行っています。</t>
  </si>
  <si>
    <t>■平成22年1月活動開始、■22年9月：第1回ミニ大通りお散歩まつり開催、■23年2月桑園交流ネットワークが設立、■23年6月パワーオブフレンド活動に協力、■24年3月桑園元気マップ完成（さぽーとほっと基金助成事業）、■24年5月桑園元気フォーラム開催、桑園地区中学校の通学路を考える会、フラワープロジェクト活動開始、
■25年5月桑園元気フォーラム開催、■25年9月桑園かわら版プロジェクト開始。</t>
  </si>
  <si>
    <t>代表世話人　牧野　隆雄</t>
  </si>
  <si>
    <t>平成22年02月</t>
  </si>
  <si>
    <t>平成22年04月</t>
  </si>
  <si>
    <t>急性冠疾患患者の当該施設への円滑な受け入れと、同疾患の救命率向上に向けて会員相互の連携を図ることを目的とする。</t>
  </si>
  <si>
    <t>循環器救急当番（24時間・365日）_x000D_
市民への啓発活動（年1～2回の市民フォーラム、AED講習会、医療相談会など）_x000D_
学術活動：急性心筋梗塞実態調査_x000D_
広報活動：ホームページでの活動内容公開</t>
  </si>
  <si>
    <t>平成22年4月～循環器救急患者に対するACSネットワーク事業（救急当番）継続。患者受け入れは、活動開始当初の初回依頼受入が69%だったものが95%以上となった。_x000D_
平成23年6月～搬送前12誘導心電図伝送開始。_x000D_
平成25年4月～救急搬送患者全例調査開始。_x000D_
平成28年1月～急性心筋梗塞全国レジストリーに参加。_x000D_
札幌市ACSネットワーク市民フォーラム（第5回～第10回は年1回10月～11月に札幌市医師会館で開催、毎回約100名が救命処置・AED講習・市民公開講座に参加</t>
  </si>
  <si>
    <t>委員長　勇﨑　恒宏</t>
  </si>
  <si>
    <t>札幌市中央卸売市場内</t>
  </si>
  <si>
    <t>平成20年02月</t>
  </si>
  <si>
    <t>市民に親しまれる市場と卸売市場の機能や食の安全安心の取り組みなどの情報発信、生鮮食料品の消費拡大と食育事業の充実を図り、市場の活性化を推進する。
また、新鮮で豊富な北海道産生鮮食料品の魅力を伝え、地産地消を推進する。</t>
  </si>
  <si>
    <t>年1回、中央卸売市場の水産棟を全面的に開放して、水産物、青果物を取り扱っている
各団体から総勢200名程度が参加して市民を迎え、北海道食材の紹介、調理の仕方等をアピール。
また、子どもたちへ魚や野菜、果物の本来の姿を五感で感じてもらうことで、食材の本来の魅力を体感してもらい、食の大切さを伝える教育の一環とする</t>
  </si>
  <si>
    <t>平成22年　9月　開設50周年記念　さっぽろ市場まつり開催
平成23年　9月　消費拡大フェア2011開催
_x000D_
平成24年　9月　消費拡大フェア2012開催
_x000D_
平成25年　9月　消費拡大フェア2013開催_x000D_
平成26年　9月　消費拡大フェア2014開催_x000D_
平成27年　9月　消費拡大フェア2015開催_x000D_
平成28年　9月　消費拡大フェア2016開催_x000D_
平成29年　9月　消費拡大フェア2017開催_x000D_
※平成30年　9月に予定していた消費拡大フェア2019は地震のため開催中止</t>
  </si>
  <si>
    <t>理事長　北澤　一利</t>
  </si>
  <si>
    <t>札幌市・全国</t>
  </si>
  <si>
    <t>平成17年09月</t>
  </si>
  <si>
    <t>平成17年06月</t>
  </si>
  <si>
    <t>この法人は、大学と地域住民、小中高等学校、および市町村自治体の間に協力関係を築きながら、幅広い人々を対象とする健康づくりや介護予防の指導および助言、自然を利用した環境教育や学校の安全確保などの事業をとおして、子どもたちや高齢者を支えるやさしいまちづくりの推進に貢献することを目的とする。</t>
  </si>
  <si>
    <t>北海道教育大学の北澤一利先生とゼミの学生が、高齢者の歩行機能と認知機能の改善に効果のある「ふまねっと運動」を考案しました。「ふまねっと運動」は交流を重視しているので交流促進やまちづくりの効果もあります。私たちは、高齢者を「ふまねっと運動」の指導者に養成することで、高齢者を福祉の受け手から担い手へと昇格させ、高齢者の社会参加促進、高齢者への偏見解消、ソーシャルキャピタルの向上を目指し、以下の活動を行っています。_x000D_
①高齢者の意識改革を行い、地域福祉を担うボランティア人材「ふまねっとサポーター」を養成しています。_x000D_
②「ふまねっとサポーター」による健康づくり活動を促進し、地域に根ざした住民主体の健康づくり活動を定着させるための支援を行っています。_x000D_
③住民、行政、「ふまねっとサポーター」が一体となった健康づくり活動を実現するための講演会やイベントを開催しています。
_x000D_
④東日本大震災被災地の仮設住宅に住む高齢者の介護予防、交流促進を目的に、被災地支援を行っています。</t>
  </si>
  <si>
    <t>①「ふまねっとサポーター」　平成29年4月現在、全国で約4,000名の「ふまねっとサポーター」が住民の介護予防、認知症予防に貢献しています。_x000D_
②支部の設立　「ふまねっとサポーター」による地域福祉活動が充実するよう、「ふまねっとサポーター」による協力関を構築し、情報の共有、指導技術の向上を目的に、9市町村で支部を設立しました。_x000D_
③「ふまねっと運動」の効果　「ふまねっと運動」の歩行機能、認知機能改善効果、交流促進効果について様々な論文や学会に発表いたしました。（例）平成20年日本認知症ケア学会（石崎章受賞）、平成22年日本疫学会、平成23年IAGG、平成24年日本公衆衛生学会、平成25年日本公衆衛生学会、平成20年看護学雑誌（医学書院）掲載、平成21年精神看護（医学書院）掲載、他多数。_x000D_
④認定ＮＰＯ法人　平成25年11月、札幌市より認定ＮＰＯ法人の認定をいただきました。</t>
  </si>
  <si>
    <t>理事長　山口　たか</t>
  </si>
  <si>
    <t>平成25年04月</t>
  </si>
  <si>
    <t>平成23年06月</t>
  </si>
  <si>
    <t>平成23年3月11日の東日本大震災で被災された方々、とりわけ東京電力福島第1原発事故に遭遇された主に福島県の子どもたちとそのご家族が放射能の影響から免れ少しでも心身の健康を取り戻すことができるよう支援するために設立しました。</t>
  </si>
  <si>
    <t>1．学校・幼稚園等の長期休暇に福島の親子を北海道に招いて、保護・リフレッシュをしてもらう。_x000D_
2．子どもの被曝や健康避難に係る講演学習します。_x000D_
3．福島の子どもたちのための保養所開設。_x000D_
4．札幌へ転居・避難する方（された方）への支援。</t>
  </si>
  <si>
    <t>平成23年7月及12月に夏の保養及冬の保護を実施しました（23家族70名）
_x000D_
平成24年3月及7月に春の保養及夏の保養を実施しました（31家族90名）
_x000D_
平成25年3月及7月に春の保養及夏の保護を実施しました（21家族55名）
_x000D_
平成25年4月にＮＰＯ法人を設立及保養所創設のプロジェクトスタートしました。</t>
  </si>
  <si>
    <t>会長　押木　正康</t>
  </si>
  <si>
    <t>札幌市豊平区西岡</t>
  </si>
  <si>
    <t>昭和51年04月</t>
  </si>
  <si>
    <t>町内会及び自治会相互の連携を密にし、相協力して共通する問題の研究協議及びその解決に当たり、効率ある事業の推進により、地区住民の福祉増進並びに住環境向上および安定生活の確保と、社会連帯意識の高揚を図ることを目的とする。</t>
  </si>
  <si>
    <t>西岡地区は、区内で一番高齢化が進んでおり、住民の安全・安心に関する関心が高く、約300名が参加する自主防災訓練を毎年、実施しています。複数の町内会では災害時要援護者避難支援にも取り組んでいます。また、関係団体、学校や企業等を協力しながら、交通安全該当啓発、こども110番の家、indoor雪合戦などの活動も実施しています。平成23年度からは豊平警察署とタイアップして「セーフティモデル地区西岡」の交通安全、防犯活動にも取り組んでいます。これらの活動内容は、町内会加入世帯に全戸配布している「水源」（年3回発行）により地域の方に情報提供しています。</t>
  </si>
  <si>
    <t>・indoor雪合戦（小学生）（1月）_x000D_
・交通安全街頭啓発
（4～11月）_x000D_
・自主防災訓練（9月）_x000D_
・健康づくりセミナー（10月）_x000D_
・一人暮らしの高齢者への励ましの絵手紙（11月）_x000D_
・「子ども110番の家」（通年）_x000D_
・交通安全・防犯「セーフティモデル地区西岡」（通年）</t>
  </si>
  <si>
    <t>代表　伊勢谷　小枝子</t>
  </si>
  <si>
    <t>平成11年10月</t>
  </si>
  <si>
    <t>聴覚障害を持つ高齢者や重複聴覚障害者が地域で安心して暮らすために、訪問支援や交流などをおこなう。</t>
  </si>
  <si>
    <t>・ご家族やろうあ者相談員などから依頼を受け、施設や病院に入所している聴覚障害者を定期的に訪問。手話や身振りでお話し相手をしています。
_x000D_
・支援者の資質向上のための学習会や、市民への啓蒙を目的とした研修会を定期的に開催しています。_x000D_
・毎月2回手芸品制作の集まり「サポグル」を開催。関係団体のイベントなどで販売をし、運営資金づくりと活動のＰＲをしています。_x000D_
・会報「とも便り」を年4回発行。市内の公共施設（札幌市身体障害者福祉センター、エルプラザ、札幌市視聴覚障害者情報センターなど）に置かせていただいています。_x000D_
・その他、月例会、定時役員会、定期総会を開催しています。</t>
  </si>
  <si>
    <t>平成13年　9月　市内小規模作業所を対象にろう重複障害者の実態調査。翌年に報告集を発行。_x000D_
平成16年　4月　拠点づくり検討委員会設置。「ろう重複障害者の為の小規模作業所を作る会」を経て_x000D_
平成17年　4月　「ほほえみ」共同作業所」開設_x000D_
平成18年　7月　市内活動団体に呼びかけ「聴覚障害児・者のしあわせ支援ネットワーク」懇談会開催。_x000D_
平成24年　10月コープさっぽろより助成金を受けて、聴覚障害者に関わるボランティアの研修会開催。_x000D_
平成26年　1月北海道新聞社会福祉振興基金より助成を受けて全道の関係者に呼びかけ、高齢聴覚障害者の訪問支援を考える研修会開催。_x000D_
平成29年　4月市のサポートほっと基金を受けて個人訪問支援先を拡大。市社協より「キラリ☆応援助成金」を受けて、聴覚障害者も参加できる「ともサロン・あさぶ」を開催。その後も継続開催中。（コロナ禍で令和2年～3年休止、令和4年より再開）</t>
  </si>
  <si>
    <t>理事長　伊藤　紀明</t>
  </si>
  <si>
    <t>平成04年05月</t>
  </si>
  <si>
    <t>一般の人々に対して、歩こう運動に関する啓発及び研修、健康増進、環境保全等の事業を行い、広く自然に親しみながら心身の健康、環境の美化を図り、もって健康で明るい社会づくりに寄与することを目的とする。</t>
  </si>
  <si>
    <t>１．歩こう運動の実践、啓発及び研修に関する事業の実施_x000D_
２．健康及び福祉の増進に関する事業の実施_x000D_
３．歩こう運動によるスポーツの振興に関する事業の実施_x000D_
４．自然保護、環境美化等の環境保全に関する事業の実施_x000D_
５．その他目的達成に必要な事業の実施</t>
  </si>
  <si>
    <t>・年間24回の月例会はコロナで3回ほど中止にしましたが、ほぼ実施。加えて関連行事も応援。_x000D_
　詳細は別紙【2021年度】年間行事計画のとおり_x000D_
・白石区民センターの社会福祉協議会へノルディック・ウォーク指導支援。_x000D_
・ＮＨＫ文化教室への指導。毎月実施_x000D_
・日常的なウォーキングの認証・表彰</t>
  </si>
  <si>
    <t>代表理事　伊藤　建雄</t>
  </si>
  <si>
    <t>札幌市内、全国</t>
  </si>
  <si>
    <t>平成19年07月</t>
  </si>
  <si>
    <t>平成18年12月</t>
  </si>
  <si>
    <t>「難病患者の過去の経験を未来の笑顔へとつなげたい」_x000D_
全国の難病の患者団体の活動記録を50年前から現在のものまで整理保存し提供しています。難病患者当事者や支援者が過去の知識と経験を生かし、より良い福祉社会を目指すことを支援します。</t>
  </si>
  <si>
    <t>活動の柱として「日本の患者会WEB版」の編纂を行っています（旧称：日本患者運動史）。戦後から現在までの間に国内で結成された患者会の機関誌、実態調査、災害の記録などを収録しウェブ上で提供しています。_x000D_
全国難病センター研究会の事務局として年2回全国各地で研究大会を開催しています。研究発表、福祉機器展示、報告集、DVDの作成などを通じて、多くの方々に情報提供と交流の場を提供しています。_x000D_
その他、厚労省や文科省等の研究班や行政の審議会等に参画し、研究や政策提言等の活動を行なっています</t>
  </si>
  <si>
    <t>平成19（2007）年　ファイザープログラム助成金を得て「日本患者運動史編纂プロジェクト」開始_x000D_
平成22（2010）年　札幌市委託事業「あんしんヘルパーQ事業（在宅ヘルパーの吸引指導）」実施_x000D_
平成23（2011）年　法人格を取得し「特定非営利活動法人難病支援ネット北海道」に名称変更_x000D_
平成25（2013）年　「日本患者運動史改題　日本の患者会WEB版」を厚生労働省難病患者サポート事業委託事業として受託_x000D_
平成26（2014）年ー現在「日本の患者会WEB版」を厚生労働省難病患者サポート事業補助金の調査・記録事業として実施_x000D_
平成18（2006）年より全国難病センター研究会事務局、平成26（2014）年より厚生労働省難病患者サポート事業補助金事業として年に2回の研究大会を実施_x000D_
平成27（2015）年　伊藤たてお代表が第16回ヘルシー・ソサエティ賞（ボランティア部門）を受賞_x000D_
平成30年（2018）年11月　団体名を「特定非営利活動法人難病支援ネット・ジャパン」に変</t>
  </si>
  <si>
    <t>会長　谷　征輝</t>
  </si>
  <si>
    <t>中央区北1条西2丁目時計台内</t>
  </si>
  <si>
    <t>昭和50年06月</t>
  </si>
  <si>
    <t>さっぽろを愛し、その札幌のシンボルである国の重要文化財である時計台を愛する者たちが、時計台を守り、育てることを目的として会をたちあげました。以降、30余年の活動を展開してきたＮＰＯ法人です。</t>
  </si>
  <si>
    <t>時計台愛護活動事業（時計台の環境整備活動、広報・PR活動）
_x000D_
時計台まつり記念事業（コンサート、講演会、児童絵画展等の企画運営）_x000D_
時計台記念品販売事業</t>
  </si>
  <si>
    <t>平成17年9月20日より、非営利活動法人さっぽろ時計台の会として設立登記完了。_x000D_
理事15名、法人会員45団体、個人会員102名
　_x000D_
本会は30年にわたる活動の軌跡があります。発足当時は時計台愛護活動が中心。春の外回り清掃、全館清掃、時計台標識の設置、植樹、時計台PRチラシの作成、時計塔保守協力等の活動を行っていました。
_x000D_
昭和54年8月ごろから沸き上った時計台移転論争を受けて、会としても本格的に取り組み、「時計台の現位地保存に協力する」ことが明記されました。平成5年7月に原位置保存の決着をみるまで、活動の主流となっていました。
_x000D_
昭和57年からは「時計台まつり」の活動と昭和52年から記念品販売事業に取り組んでいます。正式な法人としての認可を受けて活動を続けていますが、常に原点に立ち返った「時計台愛護活動事業」をより強化・拡充していかなければならないと考えております。</t>
  </si>
  <si>
    <t>委員長　板垣　俊夫</t>
  </si>
  <si>
    <t>白石区</t>
  </si>
  <si>
    <t>平成23年05月</t>
  </si>
  <si>
    <t>昭和51年03月</t>
  </si>
  <si>
    <t>活動を通じて、区民の郷土意識の高揚を図るとともに、区民のふるさとを愛しその更なる発展を願う気持ちを後の世代に引き継いでいくことを目的としています。</t>
  </si>
  <si>
    <t>白石区複合庁舎内に設置された「白石郷土館」に関する活動や、白石区と縁の深い宮城県白石市の片倉鉄砲隊（宮城県古式鉄砲研究会）の指導・助言の下、「さっぽろ白石片倉鉄砲隊」の設立に向けた活動をしていきます。</t>
  </si>
  <si>
    <t>【郷土資料館に関する活動】_x000D_
平成28年11月　白石区複合庁舎内に「白石郷土館」設置。_x000D_
平日（8：45～17：15）のほか、毎月第2土曜日及び翌日曜日の開館を実施。_x000D_
展示物の内容について、随時見直しを行っている。_x000D_
【さっぽろ白石片倉鉄砲隊の設立に向けた活動】_x000D_
平成２５年４月　鉄砲隊の装備品となる古式銃を購入。_x000D_
平成２５年５月　宮城県白石市に委員を派遣。古式銃の射撃等の経験を積む。_x000D_
平成２５年７月　白石区ふるさとまつりに片倉鉄砲隊を招へい。古式銃の射撃訓練を行う。_x000D_
平成２５年１０月　宮城県白石市に委員を派遣。古式銃の射撃等の経験を積む。_x000D_
平成２８年７月　白石区ふるさとまつりで、黒色火薬を使用した古式銃発砲演武を行った。（北海道初）</t>
  </si>
  <si>
    <t>代表理事　寺田　英司</t>
  </si>
  <si>
    <t>札幌市内全域および北海道内</t>
  </si>
  <si>
    <t>平成22年08月</t>
  </si>
  <si>
    <t>「北海道で若者が、自らの可能性を広げ、未来に希望を持って、自らの人生を生きていける」広く一般市民の協力得ながら主に学生や生徒を対象に、新しいコミュニケーション空間の中で広い意味でのキャリア教育に関する事業を行い、自らのライフプランを考え自己展開する機会をつくること、及び、それらに関する公共コンサルティング事業を行えるシンクタンク機能を持つことにより、一人一人が質的な意味で豊かな人生を暮らすことをサポートする社会の実現に寄与することを目的としています。</t>
  </si>
  <si>
    <t>高校生キャリア事業、大学生キャリア事業、探求事業、公共コンサルティング事業を行っています。詳細は活動実績をご覧下さい。</t>
  </si>
  <si>
    <t>○高校生キャリア事業高校生と大学生が将来について語り合うカタリバ北海道を道内各高校で実施しました。なお、カタリバ北海道は事業化に一定のめどがついたため、平成26年度から特定非営利活動法人いきたすとして独立いたしました。_x000D_
○大学生キャリア事業北海道大学公共政策大学院および北海道大学キャリアセンターからの委託を受け、大学生・大学院生の進路選択に対する支援活動を継続して実施しています。_x000D_
○探求事業主に小学生を対象として、自分で学ぶ力を見つける、自学自習と自由探求の場、NPOCANの寺子屋を運営しています。また、主に若者を対象とした連続講演「世の中を知るシリーズ」を実施しています。</t>
  </si>
  <si>
    <t>代表　中西　俊文</t>
  </si>
  <si>
    <t>札幌市南区常盤及び真駒内「常盤第一常盤第一都市環境森」</t>
  </si>
  <si>
    <t>平成11年04月</t>
  </si>
  <si>
    <t>常盤の森林の管理維持をしながら都市近郊の里山での人と自然の関わりについて学ぶ</t>
  </si>
  <si>
    <t>当該森林の整備保全、親子里山体験教室、野生動物観察会、天然素材を利用した工芸品制作会などの公開イベントの開催</t>
  </si>
  <si>
    <t>平成16年炭焼き、平成20年から親子里山体験、平成22年里山管理セミナー、平成25年から蔓、竹などによる工芸品制作</t>
  </si>
  <si>
    <t>代表　八百坂　康子</t>
  </si>
  <si>
    <t>平成09年05月</t>
  </si>
  <si>
    <t>自立・奉仕・助け合い、そして生涯現役・生涯学習をモットーとした、相互に助け合う高齢者のボランティア団体です。</t>
  </si>
  <si>
    <t>独居老人や孤立、引きこもりなどの方の傾聴を通して、孤独死などの防止を担う。また、遠距離介護や高齢者の認知症などの予防の為、様々なイベントを企画し参加を促している。
多世代交流で若いお母様へのアドバイスにも一役かうなど、多岐に亘り活動し、高齢者のパワーを発揮している。</t>
  </si>
  <si>
    <t>平成18年よりシニアサロンさくらんぼを開設運営を開始し、高齢者のおしゃべりサロンとして特に近隣の方々に喜ばれている。また、古着物のリメイク・エコファッションショーも開催している。平成24年より「愛の見守り隊」を展開し、独居老人の安否確認を一年を通して展開している。
_x000D_
毎年7月には「多世代交流」として北区麻生の緑地公園の清掃などを通して環境及び美化を促進しているが、若いお母さんや子育てにも一役買っている。</t>
  </si>
  <si>
    <t>理事長　横山　良伸</t>
  </si>
  <si>
    <t>札幌市北区・手稲区</t>
  </si>
  <si>
    <t>地域住民の皆様とともに、子供たちから熟年世代まで各種のスポーツに親しみ、交流と親睦を深め、子供たちの健全な発育と健康の増進、心身の鍛練に励み、もって地域の振興に貢献する。又、事業活動をとおして、地域の振興に寄与する人材の育成に資する。</t>
  </si>
  <si>
    <t>札幌市北区の新川西地区を中心に、子供さんたち対象の「めざせタイムアップ」や「ボール遊び」、「スノーフェスタ」、地域のスポーツ愛好者向けの「ヨガ」、「エンジョイランニング」、「ランニング教室｣、「面白スポーツ科学」、ラグビー愛好者に「ラグビー教室｣などを開催してきました。</t>
  </si>
  <si>
    <t>平成25年4月　スポーツ振興くじ助成事業の助成金を得て各定期事業、各不定期事業を行っています。</t>
  </si>
  <si>
    <t>代表　横山　芳江</t>
  </si>
  <si>
    <t>札幌市内・市外</t>
  </si>
  <si>
    <t>平成23年04月</t>
  </si>
  <si>
    <t>東日本大震災後、避難された方に寄り添い、共に歩んでいく支縁活動を行う。備災・防災・減災に取り組み心の備えの防災風呂敷講座や竹あかり制作でコミュニケーションの場つくりや、森の時間倶楽部活動のミュージックベル、おひな様つくり、流しそうめん大会、三角灯篭つくり、折り紙など避難者さんが講師となり学び合い、支え合う心を育む震災復興応援コンサートを企画し次世代と異年齢が協力し、人・まちつくりを継続を目的とする。</t>
  </si>
  <si>
    <t>身近な人と協力し、「命を守る」自分が出来ることで参加できる色々なジャンルの場つくりを行う。防災風呂敷講座、竹あかり制作、演出、ミュージックベル演奏、折り紙つくり、震災を音楽と朗読で語り継ぐ御伽草子、日本の伝統を次世代に伝える風呂敷デモストレーション、風呂敷舞い、災害時に役立つ「愛の風呂敷劇場」、追悼コンサート、防災のおはなし、巨大紙芝居、三角灯篭作り、流しそうめん、お豆腐つくり、おひな様制作、震災えお語り防災を伝える海外遠征、支縁ラジオ番組、地域の学校と協力し制作する「おまもりふろしき」「おもてなし風呂敷」プロジェクト、学校、幼稚園、施設訪問で命を守る風呂敷講座と防災のお話を伝えている。</t>
  </si>
  <si>
    <t>平成23年3月、街頭で呼びかけ折鶴を折って頂き、そのあとメッセージボードを作成し東北宮城県に募金と共に送る。23年5月震災復興応援コンサートを開始。避難者さんが講師となって札幌市民と交流する森の時間スタート。語ろう会、物資、生活用品お届け、ミュージックベル倶楽部活動スタート。電波を使った震災復興応援「森の時間支縁ラジオ番組」スタート。九州地震後支援活動に入る。4トントラックに物資を積んで九州へ届ける。西日本豪雨時は、下着とタオルをトラックに積んで届ける。北海道胆振東部地震後、風呂敷をもって「命を守る防災風呂敷講座」を道内172か所行う。2018年、フランス、ベルギー、オランダ、ドイツに竹あかりと風呂敷を伝える。2019年7月フランスで防災風呂敷を伝える。毎年3月6月、7月、8月、追悼竹あかりコンサートを開催。</t>
  </si>
  <si>
    <t>実行委員長　萩原　亨</t>
  </si>
  <si>
    <t>札幌市(都心部)</t>
  </si>
  <si>
    <t>平成13年04月</t>
  </si>
  <si>
    <t>平成22年06月</t>
  </si>
  <si>
    <t>特定非営利活動法人ezorockでは、2010年よりサイクルシェアリング「ポロクル」の運営を通して、札幌市内における自転車が抱える課題解決に向けて取り組みを行ってきました。_x000D_
しかし、課題解決に向けた取り組みを行う上で、市民と共に、これからの自転車環境を検討するプラットフォームが構築されていないことから、有識者及び専門家などと連携した実行委員会を立ち上げ、事業を展開します。</t>
  </si>
  <si>
    <t>ミライサイクルさっぽろは、札幌の都心部の自転車環境の改善に向けた市民参加型のプラットフォームです。10年後、20年後の自転車環境を一緒に考えていきませんか？
_x000D_
また、歩行者天国と連携した「自転車天国」など各種イベントも開催予定です。ぜひご参加ください。</t>
  </si>
  <si>
    <t>・サイクルシェアリング「ポロクル」の管理運営
_x000D_
・押しチャリの推進_x000D_
・自転車マナー啓発動画　制作・配布_x000D_
・自転車問題に関するシンポジウムへの参加</t>
  </si>
  <si>
    <t>代表　大内　良一</t>
  </si>
  <si>
    <t>清田区</t>
  </si>
  <si>
    <t>平成16年11月</t>
  </si>
  <si>
    <t>平成16年12月</t>
  </si>
  <si>
    <t>地域で身近に演劇に親しみ、楽しむことができる鑑賞機会の創出と定着。清田における演劇普及を通じて豊かな心を育む人づくり、清田のまちづくりにも寄与することが目的です。</t>
  </si>
  <si>
    <t>札幌を代表する実績と水準を持つ演劇を地域で鑑賞するための活動。公益財団法人北海道演劇財団の附属劇団札幌座と連携しています。上演に関し実行委員会を毎月1回程度開催し、準備と実施　及び　総括を行ないます。</t>
  </si>
  <si>
    <t>「清田区演劇のつどい」の第1回公演は平成17年9月、清田区民センターで北海道演劇財団の附属劇団TPS（シアタープロジェクト　さっぽろ/2011年　札幌座　と改称）の「亀、もしくは・・・。」を上演。以降毎年1回、清田区民センターでＴＰＳ（札幌座）の上演をかさねています。直近の公演は平成25年9月25日、第8回清田区演劇のつどい　札幌座「霜月小夜曲（ノヴェンンバー　セレナーデ）」でした。</t>
  </si>
  <si>
    <t>理事長　山本　強</t>
  </si>
  <si>
    <t>平成18年05月</t>
  </si>
  <si>
    <t>平成15年03月</t>
  </si>
  <si>
    <t>・公共施設や文化施設、民間施設等の夜間開放と、当該施設を活用した市民参加のさまざまな
イベントを催すことを通じて、文化活動を発信し、市民の地域文化への関心を高め、
新しい地域文化の創造と発展に寄与するために「カルチャーナイト」を開催することを目的とする。_x000D_
・地域文化活動を通じて北海道の地域づくりに貢献し、北海道の未来を担う子どもたちが
地域の文化に触れることによって、子どもたちの健全な育成と、地域文化の伝承に繋げることを
目的とする。</t>
  </si>
  <si>
    <t>・美術館などの文化施設、知事公館などの公共施設、放送局・企業などの民間施設を
通常は閉まっている夜間に開放し、当該施設を活用した市民参加のさまざまなイベントを楽しむ
「カルチャーナイト」を開催
_x000D_
・道内10数ヶ所のカルチャーナイトと地域間交流</t>
  </si>
  <si>
    <t>・2003年の第1回からはじまり、本年は12回目の開催
_x000D_
・前夜祭として「カルチャーナイトフォーラム」「札響コンサート」「カルチャーナイトウェディング」
　「インターネット交信」「カルチャーナイトサミット」「明治の洋食体験」等を開催_x000D_
・2007年　カルチャーナイトテーマ曲「Culture Night」を制作_x000D_
・2008年　カルチャーナイトの本「ふしぎな街と出会う夜」を制作_x000D_
・2012年　カルチャーナイト10周年メモリアルイベント「つながって　輪になって　10周年」を開催</t>
  </si>
  <si>
    <t>代表　間野　桂子</t>
  </si>
  <si>
    <t>平成24年11月</t>
  </si>
  <si>
    <t>本団体は、広く一般市民に対して札幌のアート美術に係る情報又はアートの知識の周知・啓発に関する事業を行い、文化芸術の発展と、札幌の芸術活動の活性化に寄与することを目的とする。</t>
  </si>
  <si>
    <t>一般市民に札幌市内のアート情報をWebサイトで提供し、アート愛好家や旅行者に役立てる。
_x000D_
アートに関するイベントやワークショップの事業を行うことで、市民がアートに触れる機会を増やし、文化芸術の発展に寄与する。</t>
  </si>
  <si>
    <t>平成24年11月　札幌の最新ギャラリー展示情報やアート情報を一覧でわかりやすく即時に確認できる「さっぽろアートビーンズ」ホームページを開設し情報提供する。現在も更新中。
_x000D_
平成25年4月　「さっぽろアートビーンズ」HPのアドレスカード1000枚配布　　10月　札幌駅チカホでイベント”「Artでハート、ハートでArt」に参加しよう！”を開催</t>
  </si>
  <si>
    <t>理事長　田中　敦</t>
  </si>
  <si>
    <t>平成22年03月</t>
  </si>
  <si>
    <t>平成11年09月</t>
  </si>
  <si>
    <t>当法人は外出が難しく一般就労が困難なひきこもり者、並びにその家族等に対して相談支援活
動事業を行うとともに、彼らの福祉を守り新たな働き方を構築する取り組みを通して自己実現を
図り、社会参加促進に寄与することを目的とする。</t>
  </si>
  <si>
    <t>特定非営利活動法人に係わる事業として、_x000D_
①外出困難なひきこもり者、その家族への相談支援
活動事業、_x000D_
②ひきこもり者のいる家庭への訪問相談活動事業、_x000D_
③人間関係づくりを学習する自助
グループ運営事業、_x000D_
④ひきこもり者とその家族等に役立つ広報出版事業、_x000D_
⑤広く一般市民にひき
こもり等を理解してもらうための講演会・イベント開催事業、_x000D_
⑥自信回復を狙いとした一般就労と
福祉的就労との間に位置する中間的労働（在宅ワーク）を構築する事業、_x000D_
⑦他団体とのひきこもり
支援ネットワークづくり事業、_x000D_
⑧前各号の事業に付帯する事業を行う</t>
  </si>
  <si>
    <t>平成11年～手紙や電子メールによるインターネット・セクターによる相談活動開始_x000D_
平成12年～ひきこもり当事者が参画する会報「ひきこもり」を創刊、隔月年6回発行_x000D_
平成14年～ひきこもりピア・アウト・リーチ支援事業を開始
平成19年～概ね35歳前後のひきこもり当事者会「SANGOの会」を運営、現在毎月2回開催
_x000D_
平成22年～ひきこもり当事者の目線を重視した各種助成金事業に取り組む
成果物としては、「北海道ひきこもり支援ハンドブック」「ひきこもりと共に歩む-ひきこもり経験談集
録」「ひきこもり経験者参画型ひきこもり理解啓発セミナー集録」「北海道ひきこもり生活支援ガイ
ドブック」「ひきこもり地域拠点型アウト・リーチ支援事業理解啓発リーフレット」</t>
  </si>
  <si>
    <t>会長　有田　京史</t>
  </si>
  <si>
    <t>昭和56年04月</t>
  </si>
  <si>
    <t>東月寒地区住民の参加により明るく住みよいまちづくりをめざし、福祉の増進と連帯意識の高揚を目的としています。</t>
  </si>
  <si>
    <t>地区内の単位町内会と行政機関や諸団体との連携調整のほか、下記の事業などを実施しています。_x000D_
・地域の福祉や環境衛生の向上を図る事業_x000D_
・防犯防災、交通安全を図る事業
_x000D_
・地域住民の体育の向上や青少年の健全育成を図るための事業_x000D_
・女性の社会的地位の向上を図るための事業</t>
  </si>
  <si>
    <t>昭和59年　雪中運動会開始、以後毎年開催_x000D_
昭和62年　ふれあい夏まつり開始、以後毎年開催
_x000D_
平成3年　とよひらHANA-LAND東月寒地区委員会を結成、以後毎年植花活動を行う。_x000D_
平成12年　地域にある企業と連携を深めるため、地域の企業を町内会連合会に加入させる「特別会員制度」創設_x000D_
平成17年　東月寒地区防犯パトロール隊が結成され、以後活動への支援を行う。_x000D_
平成17年　子供たちの安心・安全なまちづくりを目標とする「東月寒まちづくり協議会（童夢）」が結成され、以後活動への支援を行う。_x000D_
平成24年　東月寒地区防犯パトロール隊を町内会連合会による活動として変更し、活動の強化を図る。
_x000D_
また、上記のほかにも、毎年次の事業等を実施しています。
定期総会、小学校秦１年生への交通安全マスコット贈呈、河川清掃、傘寿・米寿記念品贈呈、健康フェア、歳末特別警戒パトロール、新年交礼会、路上駐車一掃合同パトロール、広報紙発行、れっつgoエアロ、協働募金・日赤募金・一円玉募金活動など</t>
  </si>
  <si>
    <t>理事長　一條　誠弥</t>
  </si>
  <si>
    <t>中央区</t>
  </si>
  <si>
    <t>平成14年01月</t>
  </si>
  <si>
    <t>昭和46年02月</t>
  </si>
  <si>
    <t>私たちの街でよい芝居を身近な形で観たいという市民が集まり、観劇会をみずから運営して芝居を楽しみ、精神の豊かさを育みながら文化振興に寄与していくことを目的としている。</t>
  </si>
  <si>
    <t>・各観劇会の収支に影響されずに芝居を見続けることを確保するために、会員・会費制で観劇会を開催している。_x000D_
・観劇会（演劇公演）は会員みずからの手でおこない、観劇するだけでなく、劇団や出演者との交流を図りなから、演劇を体験し楽しんでいる。_x000D_
・誰もが演劇を楽しめる環境をつくりだすために、託児、視聴覚障害者へのサポート、青少年への観劇機会の提供（ユースシアター）に取り組んでいる。</t>
  </si>
  <si>
    <t>１９７１年２月　「札幌勤労者演劇協議会」として発足し、以降毎年６本程度の観劇会を開催。_x000D_
２００２年１月　ＮＰＯ法人化し、特定非営利活動法人演劇鑑賞会北座へ組織変更。_x000D_
２００２年１月　生の舞台にあまり触れる機会の無い「視聴覚障がい者」への観劇サポートや、「青少年（中学生・高校生など）」への観劇機会を提供する『賛助会員制度』を設置（年間の定例観劇会のうち２～３回実施）_x000D_
現在、定例観劇会として、毎年度６本の演劇鑑賞会を開催している。_x000D_
また、定例観劇会に先がけて、毎回、演出家、俳優、プロデューサーなどを招いて「えんかんサロン」を開催している</t>
  </si>
  <si>
    <t>代表理事　寺嶋　忠雄</t>
  </si>
  <si>
    <t>平成05年11月</t>
  </si>
  <si>
    <t>北海道におけるごみ問題・環境問題について、道民の立場にたって学習、調査、研究を行い、その成果を全道に広く発信していくことを目的に活動</t>
  </si>
  <si>
    <t>北海道におけるごみ問題を多様なメンバーが調査・研究を行い、既存の概念からは思いつかない解決策を見つけ出し、循環型社会の実現に寄与できるよう、様々な活動を行っています。_x000D_
【調査研究】リサイクルエネルギーによる消・融雪実験（1988）、寒冷地型／小型生ごみ処理装置の開発に関する調査研究（1999）　・北海道型RDFに関する研究（2000、廃棄物資源循環学会発表、優秀ポスター賞受賞）　・札幌市ダンボール生ごみ堆肥化に関するモニター調査（2001）　・室内におけるダンボール箱での厨芥処理の研究（2002、廃棄物資源循環学会発表_x000D_
【提言・活動・協力】生ごみダンボール堆肥講師派遣（2003～）　・ふれあい農園生ごみ堆肥試験栽培参加（2004）
　・ごみゼロ推進北海道参加（2004）　・札幌市可燃性廃棄物のPDF化構想（2007）　・中北空知地域RDF施設事業化構想（2009）_x000D_
【交流・情報提供】例会（講演・視察会）、研究会の開催（年3～4回）　・フォーラム、シンポジウムの開催　・会報誌「北ごみ通信」、教本等の発行</t>
  </si>
  <si>
    <t>【2009年】
_x000D_
・3月　コンポスターを使用した生ごみ堆肥か講習会（受託事業）、生ごみ堆肥二次発酵業務（受託事業）_x000D_
・4月　北ごみフォーラム「民設民営による生ごみ堆肥化計画」_x000D_
・10月　中北空知RDF施設事業化構想（提言）_x000D_
【2010年～2019年度】４月　札幌市生ごみ堆肥化セミナー（受託事業）_x000D_
【2011年～2013年度】・8月　副産物・廃棄物の利活用に関する人材育成講座（受託事業）_x000D_
・8月　第3回さっぽろ環境賞授賞_x000D_
【2015年～2018年度】・４月自家製堆肥を使ってビルの屋上のトマト栽培_x000D_
その他、毎年、北のごみセミナー、新春勉強会、施設見学会などを行う。_x000D_
2018年度は設立25周年記念してセミナーを開催</t>
  </si>
  <si>
    <t>代表理事　江口　彰</t>
  </si>
  <si>
    <t>北海道全域</t>
  </si>
  <si>
    <t>平成25年10月</t>
  </si>
  <si>
    <t>平成26年04月</t>
  </si>
  <si>
    <t>北海道をフィールドとして、学生や児童を中心とする若者を対象に「カタリバ」事業をはじめとする双方向の学びの場の創出を行うとともに、多様化する地域の課題解決やよりよき社会を作り上げる若者の人材育成等を行うことを通じて、大きく変りつつある社会環境に対応した新たな学習環境の構築と、幅広い社会問題の改善に寄与することを目的とする。</t>
  </si>
  <si>
    <t>今の若者は、将来不安な人生を歩まなければなりません。少子高齢化に伴う負担は年々増額し、国の借金、環境エネルギー問題など様々な問題を乗り越える世代として、意欲を持って学び、たくましく成長してもらいたい。カタリ場を中心とした対話型授業の特徴は「動機付け」にあります。知識習得型から意欲喚起型への学びの場を、創造、そして開発していくことで、教育支援と地域支援を道内各地で繰り広げていきます。</t>
  </si>
  <si>
    <t>NPO法人CANの高校生キャリア事業部が独立して当NPOとなりました。これまで道内19の高校及び一つの中学校で「カタリ場」の授業を展開し、延1,700名あまりの学生が、延4,800名の生徒に届けてきました。札幌市内では、市立札幌大通高、札幌月寒高、札幌藻岩高、東海大四高、で実施。札幌新川高・青葉中学では「札幌市民憲章50周年記念事業」として開催。また、2012.9には『北海道クローズアップ』（NHK札幌放送局）で放送されました。</t>
  </si>
  <si>
    <t>理事長　高橋　勇造</t>
  </si>
  <si>
    <t>ゆるきち（札幌市東区北25条東６丁目３-２）</t>
  </si>
  <si>
    <t>平成24年01月</t>
  </si>
  <si>
    <t>平成24年04月</t>
  </si>
  <si>
    <t>この法人は、経済的理由や家庭環境等によって学びの機会が奪われている子どもたちに対し、楽しい学びの場をつくり、総合的な学習支援事業を通じて、全ての子どもたちが自らの人生を楽しめる社会づくりに寄与することを目的とする。</t>
  </si>
  <si>
    <t>経済的理由や家庭環境等により、十分な学習環境にない子ども・若者を対象に学習支援をしている。_x000D_
・スタサポ：ひとり親家庭や生活保護世帯の子どもを対象にした拠点型学習支援_x000D_
・学ボラ：児童養護施設や母子生活支援施設等社会的養護に関わる子どもを対象にした訪問型学習支援_x000D_
・ゆるきち：中高生が自由に勉強したり、ゲームしたり自由に過ごせる空間の提供</t>
  </si>
  <si>
    <t>スタサポ：2012年4月から開始し、札幌市６拠点、江別市１拠点、苫小牧市１拠点の計８拠点を運営（2019年8月時点）、延べ10,000名以上の子どもが利用している。_x000D_
学ボラ：2012年4月より開始し、札幌市内にある児童養護施設、母子生活支援施設、自立援助ホーム等社会的養護に関わる児童福祉施設全種に訪問している。2018年より北広島市の児童養護施設でも活動開始。_x000D_
ゆるきち：2016年11月より一軒家を活用して開始し、延べ1400名以上の子どもが利用している。</t>
  </si>
  <si>
    <t>会長　川村　功</t>
  </si>
  <si>
    <t>西区　八軒地区及び八軒中央地区</t>
  </si>
  <si>
    <t>八軒連合町内会創立２０周年記念事業として制作された「八軒音頭」を貴重な伝統芸能として一層発展させ、後世へ保存伝承推進する。</t>
  </si>
  <si>
    <t>(1)八軒音頭の周知宣伝活動
　_x000D_
(2)各種イベントへの参加協力
　_x000D_
(3)後継者の育成
　_x000D_
(4)その他関連する事業</t>
  </si>
  <si>
    <t>地域のまつり、盆踊り、琴似神社例大祭パレード、敬老会、新年会などでの踊りの披露。
_x000D_
ＹＯＳＡＫＯＩソーラン白い恋人パーク会場ハーフタイムショーでの演舞。
地域の小学生へ踊りの指導。</t>
  </si>
  <si>
    <t>理事長　木村　邦弘</t>
  </si>
  <si>
    <t>平成24年10月</t>
  </si>
  <si>
    <t>65歳未満で発症する若年認知症は、その多くが40代・50代の働き盛りで発症するため、本人は勿論、介護家族にとっても精神的・経済的負担が大きく、社会的理解と地域の支援が求められます。若年認知症に対する医療・介護・福祉の施策もまだ端緒に着いたばかりで,ケアと制度利用、交流と相談活動の充実など若年認知症の人と家族が抱える困難はまだまだ解決されず、多くの問題点や課題が山積しています。札幌を拠点として、北海道内の若年認知症の人と家族の交流・支援、若年認知症についての理解促進、医療・介護制度の充実等を通じて、地域社会の福祉の向上に寄与することを目的とします。</t>
  </si>
  <si>
    <t>本ＮＰＯは本人・家族の交流、相談活動、広報紙「ひまわり通信」の発行などを通じて、若年認知症への理解と介護サービス・公的助成制度の活用や改善要望に取り組みます。行政・医療機関・介護事業者と連携し、「若年認知症実態調査」「一日相談会」「市民講演会」「介護従事者実践研修」など様々な事業を推進すると共に、「若年認知症の人のサービス利用の手引き」等を作成し、会員のみならず、道内外の家族の会や介護事業者・行政機関に広く活用してもらいます。</t>
  </si>
  <si>
    <t>平成24年10月　会の活動の広報･情報発信のためにＨＰを開設、12月ＮＰＯ発足記念講演会　_x000D_
つどい、ひまわり塾(学習会）、通信発行、認知症実践者研修会講師派遣(12件）_x000D_
平成25年3月　「若年性認知症の人と家族への支援」手引き発行、6月日本認知症ケア学会　ポスター発表（学会　石崎賞受賞）、9月若年認知症を理解するための札幌市市民講演会・相談会開開催、深川、江別市で講演、旭川、苫小牧で家族会の開催。　_x000D_
つどい、ひまわり塾、通信発行、実践者研修会講師派遣（14件）、日本認知症ケア学会ポスター発表_x000D_
平成26年6月　日本老年精神医学会若年認知症研究会で講演、7月砂川市民ﾌｫｰﾗﾑ　報告、全国認知症疾患医療センター研修会で講演、旭川、函館、苫小牧で家族会の開催つどい、ひまわり塾、通信発行、認知症実践者研修会講師派遣(14件）</t>
  </si>
  <si>
    <t>代表理事　後藤　志帆</t>
  </si>
  <si>
    <t>北海道札幌市</t>
  </si>
  <si>
    <t>行政収容される猫の救護と新たな飼い主探しをすると共に、猫の適正飼育の向上・動物愛護精神の普及を図り、健全で情緒豊かな子供たちが育つ社会作りを目指す。</t>
  </si>
  <si>
    <t>・主に行政収容される猫のレスキューと譲渡事業。   　　　_x000D_
・猫の保護活動に対する支援依頼に対する後方支援。　　_x000D_
・猫の適正飼育の普及に関する事業。  　　　　　　　　　_x000D_
・動物愛護啓発。</t>
  </si>
  <si>
    <t>＜譲渡実績＞
_x000D_
２０１１年　４７匹　　　２０１２年　９１匹　　　２０１３年　９７匹
_x000D_
＜猫に対する愛護啓発イベント＞_x000D_
・２０１４年８月　ねこたまご主催イベント・サマーフェスタ開催_x000D_
・２０１４目９月　札幌市動物愛護フェスティバル参加</t>
  </si>
  <si>
    <t>代表理事　吉井　美穂子</t>
  </si>
  <si>
    <t>札幌市内（ツキネコカフェ、ニャイダーハウス、各種イベント会場）</t>
  </si>
  <si>
    <t>平成24年09月</t>
  </si>
  <si>
    <t>この法人は、猫の保護活動と里親探しに関する事業、地域の住民と地域猫が共生できるための地域猫活動、猫の適正飼養に係る相談対応および終生飼育の啓蒙普及のための事業を行うことによって、殺処分される猫の頭数削減および住民の自立と連帯で命を尊び猫と共生する環境と社会作りを目的としています。</t>
  </si>
  <si>
    <t>①猫の保護活動と里親探しに関する事業_x000D_
②地域の住民と地域猫が共生できるための活動_x000D_
③猫の適正飼養に係る相談対応およい終生飼育の啓蒙普及のための事業_x000D_
④その他、この法人の目的を達成するために必要な事業</t>
  </si>
  <si>
    <t>①猫の保護に関するご相談・保護目的の捕獲器の貸し出し（預かり依頼有償/札幌市動物管理センター連携事業）_x000D_
②引きこもり児童等の職業体験（生活・就労支援センターあつべつ連携事業）_x000D_
③天売島猫の保護活動（環境省、羽幌市連携事業）_x000D_
④北大カフェプロジェクト/わんにゃんカフェ開催（北海道大学同プロジェクト連携事業）</t>
  </si>
  <si>
    <t>団委員長　高橋　朋子</t>
  </si>
  <si>
    <t>平成08年04月</t>
  </si>
  <si>
    <t>本団はガールスカウト運動を通して「やくそく」と「おきて」に基づき少女達が精神的・道徳的価値を尊び、進んで奉仕し責任ある市民として人類の平和と幸福につくすことが出来る人に育つよう、自ら学び楽しい機会を与えることを目的とする。</t>
  </si>
  <si>
    <t>子供は自然とのかかわり、仲間や家族以外のいろいろな人とのかかわりの中でこそ、自分の持っているさまざまな可能性を伸ばすことが出来ます。そして活動の中で自分で考え迷い物事を決定していく経験、その中でうまくいくことだけでなく、うまくいかないことを自分で調節し、修正していく_x000D_
経験を幼い頃から積み重ねていくことが、どんな状況下においても自分で判断し行動できる力につながります。_x000D_
ガールスカウトでは少女達が五感を使って楽しく遊びながら学び、自信を持ち個性と好奇心を伸ばせるような活動ブログラムを提案し一人ひとりの育ちを丁寧に支えます。</t>
  </si>
  <si>
    <t>〈平成２６年度〉_x000D_
4月～緑の募金活動、5月～円山動物園ふれあいの日参加、6月～すずらんピック、アースディ、ユニセフラブウオーク、7月～団キャンプ、8月～パネル展、9月～友遊キッズ参加、10月～赤い羽根募金活動、11月～パープルリボンキャンペーン、大友恵愛園訪問、12月～お餅つき集会、１月～パネル展、２月～チャレンジキッズ、シンキングディ、3月～お泊り集会</t>
  </si>
  <si>
    <t>会長　木田　富貴子</t>
  </si>
  <si>
    <t>札幌市北区</t>
  </si>
  <si>
    <t>平成11年05月</t>
  </si>
  <si>
    <t>平成１１年、篠路グリンピア住宅団地が造成された。新しい道路に沿って枡花壇ができた。買収した用地で取り残された市の土地が残された。手入れがされず雑草が生い茂り、ごみも捨てられた。地域の環境を改善するため，有志を募り草花を植え通学の子供たち、通行する人々に、草花を大切にする心の優しさ、思いやり、が育ってくれればとの願いで始めた。平成１５年北区主催の「街づくりコンテスト」に参加してからコスモスとして本格的に活動開始した。</t>
  </si>
  <si>
    <t>１、枡花壇・市の遊休地の草花植え、遊休地では目線に合った植え方、車いすが通れる道を奥までつける。「ながめるめるから触れ合う花畑」に改修(札幌市公園緑化協会助成金) _x000D_
2,小学校の3年生の総合学習での指導は、子供たちとのふれあいの第一歩になっている。_x000D_
3、藍の生葉染めーお花畑に北区役所作成の看板を掲げて雑草ではないことを学んでいただいている。_x000D_
4、花の駅長さんは、活動費のない団体として3万円の助成を受けての活動です。4つの花桶を篠路駅の2つの出入り口に置き、6月から8月の間、水と花の手入れをする。 草花の嫌いな人はいません、だれもが好きな時間に好きなだけ活動する、会費なしのボランティア団体です。</t>
  </si>
  <si>
    <t>1,登下校中の小学生による花壇のお花のいたずらがなくなった。いつくしむ心が育ってきた。_x000D_
2,藍の生葉染めは明治の中頃、篠路地区で栽培されていた藍と藍染の歴史に触れるきっかけとなった。生葉染めは2,3株あれば　誰でも出来ることから、講習会への参加も多い。9年目 _x000D_
3 、篠路地区でも枡花壇や空き地に花を植える方が増えてきた。_x000D_
4、北区より借りている遊休地の活動に参加希望が出てきた。活動成果としては、平成１８年北区伝統文化フェスタ2006展示参加、北海道みち百選、平成20年みどりの愛護功労賞、国土交通大臣、平成22年と24年度゜全国花のまちづくりコンテスト団体の部入賞」など活動が評価されている。</t>
  </si>
  <si>
    <t>会長　福士　昭夫</t>
  </si>
  <si>
    <t>石山まちづくりセンター</t>
  </si>
  <si>
    <t>昭和50年02月</t>
  </si>
  <si>
    <t>定山渓沿線地域に共通する諸問題について住民の意思を集結して改善解決を図り、生活環境と住民文化の向上を期することを目的とする。</t>
  </si>
  <si>
    <t>定山渓沿線にかかる事業の見守り_x000D_
小金湯さくらの森利活用検討</t>
  </si>
  <si>
    <t>バス不公平是正の要望書を札幌市に提出（平成２５年１０月２５日）</t>
  </si>
  <si>
    <t>理事長　芳賀　博信</t>
  </si>
  <si>
    <t>引退したスポーツ選手へ就職活動のノウハウの提供等を行う事により、セカンドキャリアの支援を行うと共に、身近にプロの選手を感じてもらう事でスポーツの和を広げ「地元に根付いたファンづくり」を目指していきます。_x000D_
また、サッカー教室やブラインドサッカーチームの運営を通じて、「スポーツで北海道を元気にする」を合言葉に、人に社会に貢献していきます。</t>
  </si>
  <si>
    <t>・プロ選手引退後の就職支援_x000D_
・スポーツイベントの開催_x000D_
・各種施設支援（障がい者・児童福祉・介護）_x000D_
・スポーツの振興_x000D_
・スポーツスクールの運営_x000D_
・東日本大震災復興支援_x000D_
・ブラインドサッカーチーム「ナマーラ北海道」運営_x000D_
・北海道「オモツタ」プロジェクトの運営</t>
  </si>
  <si>
    <t>・サッカーイベントやサッカー教室を通じて、子供たちの体力の向上を図れた。_x000D_
・ブラインドサッカーの体験会を通じて、健常者と障がい者の相互理解を深め、広く障がい者スポーツを広めることができた。_x000D_
・ブラインドサッカー北日本リーグ２０１５では運営している「ナマーラ北海道」が優勝することができた。_x000D_
・学校や企業向けの研修として「オモツタ」プロジェクトを行っている。</t>
  </si>
  <si>
    <t>理事長　前山　啓二</t>
  </si>
  <si>
    <t>札幌市、石狩振興局及び空知総合振興局管内</t>
  </si>
  <si>
    <t>「私たちは農と食卓を結びます」近年、農村では農業者の高齢化がすすみ、こども達に残したい豊かな農村風景も失われつつあります。これは農畜産物の持続的な生産や農村の保全に対する大きな不安であり、都市住民にとっても安全、安心な食料確保の問題ともなっています。私たちは地域情報発信と交流促進イベント等を通じて、農山漁村の振興とこども達の食農教育、都市住民の食と自然の豊かさ享受の実現をめざし、農村と都市の連携、交流の調整役を担うべく設立しました。</t>
  </si>
  <si>
    <t>○農業・農村フェスタｉｎ赤れんが（H22～H27）、農業農村体験フェスタin赤れんが（H28～H30）_x000D_
脱穀・精米やバターづくり教室などの模擬体験と、道内各地の農業者や関係団体、市町村等で構成する地域協議会による地域特産品のＰＲと販売など、農村と都市の直接交流の場として、市民や学生などの多くのボランティアとともに道庁赤れんが前庭等で毎年開催。_x000D_
○農業農村体験ツァー_x000D_
親子またはシニア向けに近隣地域に出かけ農業者と交流するツァーの実施。_x000D_
○景観サポート事業 _x000D_
北海道登録Ｎｏ２として、赤れんが前庭の清掃や団体による景観保全活動を支援。_x000D_
○地域活動団体向け事業申請支援　_x000D_
  国等の活性化支援制度に対する事業申請等の支援。_x000D_
○会員向け体験事業_x000D_
  味噌づくり講習会、キノコのホダキづくりなど</t>
  </si>
  <si>
    <t>○農業農村体験in赤れんが_x000D_
　  　H30.10.13実施。来場者数 11,000人（内、子供 1,100人）、市民や学生等のボランティア150人。_x000D_
      Ｈ１６年スタートの北海道事業を引き継ぐ形でＨ２２から毎年実施。_x000D_
○農業農村体験ツァー_x000D_
　  　新十津川町（Ｈ２３，２４）、当別町（Ｈ２５，２６）、札幌市（Ｈ２３）にて、農作業体験、農業施設見学、旬の野菜料理教室などを毎年（Ｈ２７年度は未実施）開催。_x000D_
○景観サポート事業_x000D_
      H27.5「恵庭花いっぱい運動」の景観保全活動団体に手ぬぐいを寄贈するなど、毎年実施。_x000D_
○地域活動団体向け事業申請支援_x000D_
　  　体験や婚活ツァーなど各種補助申請の相談を実施（名寄市、由仁町、様似町、当別町など）。_x000D_
○会員向け体験事業_x000D_
　  　味噌づくり講習会、キノコのホダキづくりなど</t>
  </si>
  <si>
    <t>理事長　小林　誠</t>
  </si>
  <si>
    <t>札幌市東区内</t>
  </si>
  <si>
    <t>平成26年08月</t>
  </si>
  <si>
    <t>平成26年09月</t>
  </si>
  <si>
    <t>地域住民及び保健・医療・福祉などに係る全ての関係者と協働で保健、医療又は福祉の増進を図る活動に関する事業を行い、地域の高齢者や障がいを持った人たち等が、住み慣れた地域で安心して住み続けられるために地域包括ケアの実現に寄与することを目的とする。</t>
  </si>
  <si>
    <t>(1)ニルスファームの企画・運営_x000D_
ニルスファームは、東雁来連合町内会の区域において、町内会組織、老人クラブ、民生委員会、児童会館、商店街、行政などから構成される「ニルスファーム運営会議」において企画・運営することにより活動を進めてきた。_x000D_
（２）ふらっとステーション伏古の企画・運営_x000D_
ふらっとステーション伏古は、伏古・本町連合町内会の区域、元町連合町内会の区域に居住する市民が、住み慣れた地域で安心して住み続けられることを目的に、常設型のサロンとして活動している。</t>
  </si>
  <si>
    <t>(1)ニルスファームの活動実績_x000D_
①地域食堂の企画運営_x000D_
・毎月１回地域の子供たちと保護者、高齢者の皆様と、季節に対応した「食」や「体験学習」を通して多世代交流ができる、居場所作りを行っている。_x000D_
②ニルスファームでの活動_x000D_
・ブルーベリー・イチゴ・トマト等の栽培、収穫、料理等を行っている。_x000D_
(2)ふらっとステーション伏古の活動実績_x000D_
①常設サロンとして、「在宅医療・介護なんでも相談カフェ」,「認知症オレンジリングカフェ」,「認知症サポーター養成講座」「地域の食改さんとお手軽ランチタイム」,「散歩の会」「頭と体の楽しい運動」「5時からカフェ（伏古サミット）」・・・・など15イベントを開設している。_x000D_
②ポイント制度を導入した、「地域助け合い活動」の実施_x000D_
「助けられたい人」「助けたい人」をマッチングした有償ボランティア活動を行っている。</t>
  </si>
  <si>
    <t>代表理事　藤原　美由紀</t>
  </si>
  <si>
    <t>札幌市手稲区</t>
  </si>
  <si>
    <t>平成27年06月</t>
  </si>
  <si>
    <t>平成25年09月</t>
  </si>
  <si>
    <t>地域の中で、つながりを大切にしたまちづくりをすすめるため、人と人、人と団体・企業、地域同士のつながりをコーディネートしながら、こころのよりどころになる場所づくりをし、地域の人たちがこころ豊かに支えあう社会をつくることを目的とする。</t>
  </si>
  <si>
    <t>（１）地域の様々な人たちが集える居場所の企画運営_x000D_
（２）地域の人たちが交流できるイベントの企画運営_x000D_
（３）コミュニティカフェ・レストラン等の飲食店の経営、企画、管理_x000D_
（４）ひとづくり・まちづくりに関する講習会等の企画運営_x000D_
（５）商店街活性化事業_x000D_
（６）企業や団体の連携の推進に関連する事業_x000D_
（７）まちづくりに関する調査研究</t>
  </si>
  <si>
    <t>平成２５年１２月　手稲まちづくりフェスタを開催（区内１１団体参加）　展示販売および地域実践団体紹介とホームコンサート_x000D_
平成２６年１１月　協同で地域をつむぐ～人として生きる～共同集会in手稲を開催　記念鼎談（宮崎隆志北大教授、小林真弓、穴澤義晴）、実践報告（区内３団体）、分科会１「地域で生きる（子育て）」分科会２「地域ではたらく（若者・障がい者）」分科会３「地域でいかしあう（高齢者）」・分科会４「地域でいかしあう（環境・農業）」_x000D_
平成２６年８月～　手稲駅南口にコミュニティカフェ「めりめろ」開店_x000D_
平成２７年６月　法人化</t>
  </si>
  <si>
    <t>代表　林　隆志</t>
  </si>
  <si>
    <t>平成14年12月</t>
  </si>
  <si>
    <t>定年退職後の年金受給者が集まり、これまでの経験をふまえまだ社会に貢献できることとして、壊れたおもちゃの無料修理活動を行い、子育て支援と児童の物を大事にする心の醸成に寄与するとともに会員相互の親睦を図ることを目的とする。</t>
  </si>
  <si>
    <t>１　修理の定期活動～市内８個所で修理の実施_x000D_
　〇旭山公園通地区センター第１・３月曜　〇東区民センター第２・４木曜　〇元町図書館第３水曜　〇丘珠ふれあいセンター第２木曜　〇札苗児童会館第１水曜　〇下水道科学館第２・４日曜　〇屯田北児童会館第２・４水曜　〇南区民センター第１・３金曜_x000D_
２　臨時活動～非営利のイベントなどで_x000D_
　〇出前修理　〇手作りおもちゃの出前展示　〇小学生対象の工作教室_x000D_
３　宅配便による修理～札幌市以外の市町村から受付</t>
  </si>
  <si>
    <t>１　平成２７年度の実績_x000D_
　〇定期活動　計１３６回　延参加会員９７７名　修理数１，３８０個_x000D_
　〇臨時活動　出前修理１０回　出前展示７回　工作（プチ）教室１７回受講者５５８名　延参加会員９５名　修理数９５個_x000D_
　〇宅配便による修理　２０件　修理数３７個_x000D_
２　これまでの主な実績_x000D_
　〇平成１９年１１月帯広市から依頼でボランティア講座開催　〇平成２１年６月環境賞（市長）授与　〇平成２３年３・４月東日本大震災地の子供達におもちゃを送ろう作戦実施、１４箱送付　〇平成２６年１１月浦河町から依頼で修理講座開催　〇平成２７年７月社会福祉協議会会長賞授与</t>
  </si>
  <si>
    <t>代表理事　森　由佳子</t>
  </si>
  <si>
    <t>平成27年03月</t>
  </si>
  <si>
    <t>札幌市を拠点に、元気な心を保つためのツール「キラリノート」を普及させ、子どもから社会人の方の心の健康をサポートし、学業、仕事の活性化、円滑な人間関係等の社会活動を目的とする。</t>
  </si>
  <si>
    <t>キラリノートの普及のため、学校、企業さまへ試作品を持って行ってワークセミナーを開催します。_x000D_
実際のお声を聞き、更なるブラッシュアップを計りつつ営業活動を行います。_x000D_
また、認定講師制度を発足させ、キラリノートアドバイザーとしての心と身体の知識を深める勉強会やセミナーの開催も行います。</t>
  </si>
  <si>
    <t>平成２３年５月　テキスト制作を始める。企画考案、マーケティング調査_x000D_
平成２５年３月　一般社団法人の設立、キラリノート制作開始、心理療法、脳科学のセミナー等に出席し、知識向上、内容の精査を行う。_x000D_
平成２６年５月　キラリノート完成のため、デザインを依頼　HP制作　マーケティングプランの考案</t>
  </si>
  <si>
    <t>代表理事　吉木　敬</t>
  </si>
  <si>
    <t>平成27年01月</t>
  </si>
  <si>
    <t>北海道民の生涯にわたる生き生きとした健康生活に寄与することを目的として様々な活動を行う。</t>
  </si>
  <si>
    <t>①講演会の開催②健康相談③医師など講師の派遣④健康・医療情報の提供による啓発活動</t>
  </si>
  <si>
    <t>①講演会の開催（日本綜合医学会の北海道支部として主として健康・医療など食育と未病に関する500人規模の講演会を開催してきました。）②市民の様々な健康相談③医師など講師の派遣④健康・医療情報の提供による啓発活動（講演会の内容をまとめ全国に情報を発信してきました。）</t>
  </si>
  <si>
    <t>理事長　島田　武彦</t>
  </si>
  <si>
    <t>札幌市内各地</t>
  </si>
  <si>
    <t>平成17年08月</t>
  </si>
  <si>
    <t>この法人は、一般市民に対し、スポーツの良さを実感できる事業を行なうことにより、誰もが健康で豊かな生活を送ることが出来る社会の実現に寄与することを目的とする。</t>
  </si>
  <si>
    <t>この法人は、上記の目的を達成するため、特定非営利活動法人に係る事業を行う。_x000D_
（１）ライフスポーツ推進事業（クロスカントリースキー（歩くスキー）の技術指導、ワックス講習、ローラースキー講習、ノルディックウォーキング、登山、水中運動、マラソン大会、駅伝大会等）_x000D_
（２）ライフスポーツ用品販売事業（クロスカントリースキー（歩くスキー）用のワックス販売、ローラースキーの販売、ノルディックウォーキングのポール販売、登山靴等の販売、水着等の販売、マラソン用品等の販売）</t>
  </si>
  <si>
    <t>平成28年度_x000D_
・手稲区介護予防センターまえだ様へのノルディックウォーキングスタッフ派遣_x000D_
・さっぽろ青少年女性活動協会様　歩くスキー出前授業へのスタッフ派遣_x000D_
・札幌市観光文化局スポーツ部　オリンピアンズキャラバンへのスタッフ派遣_x000D_
・さっぽろ健康スポーツ財団様へのスタッフ派遣　等</t>
  </si>
  <si>
    <t>代表理事　中村　則夫　</t>
  </si>
  <si>
    <t>札幌市清田区</t>
  </si>
  <si>
    <t>平成25年02月</t>
  </si>
  <si>
    <t>誰かの「困ったな」と誰かの「助けたい気持ち」をつなぎ、日々の暮らしの中で、援助が必要な高齢者・障害者やその家族、その他手助けを必要とする方々へ会員相互扶助により日常生活支援を組織的に行う目的で設立された。</t>
  </si>
  <si>
    <t>①高齢者、障がい者等、日々の暮らしの中で困難を抱えている方々への日常生活支援事業_x000D_
②福祉分野の知識や技能の向上に必要な研修事業_x000D_
③移動サービスに関する事業_x000D_
④地域でともに生きる福祉の充実を目指すまちづくり事業_x000D_
⑤前各号の事業に附帯する事業</t>
  </si>
  <si>
    <t>（平成２６年度）活動時間/1,274時間、新入会員/51名、収入/1,077千円、支出/1,091千円_x000D_
（平成２７年度）活動時間/1,270時間、新入会員/36名、収入/1,127千円、支出/1,267千円</t>
  </si>
  <si>
    <t>会長　石黒　信一</t>
  </si>
  <si>
    <t>札幌市豊平区福住地区</t>
  </si>
  <si>
    <t>平成09年04月</t>
  </si>
  <si>
    <t>各町内会に共通する課題の連絡調整を図り、明るく住みよい街づくりを目的とする。</t>
  </si>
  <si>
    <t>福住地区にある２１町内会・自治会で組織。目的の達成のために、総務部、財務部、保健衛生部、防災防犯部、女性部、体育文化部、広報部の７部体制で活動を進めている。_x000D_
地域安全、環境整備、植花、健康増進などに関する事業を展開し、地区内の住民の連携とコミュニティの形成を図っている。</t>
  </si>
  <si>
    <t>平成28年度の主な活動_x000D_
・福住連合まつり_x000D_
・パークゴルフ大会_x000D_
・住民ウォーキング_x000D_
・花ランド事業（植花）_x000D_
・自主防犯パトロール_x000D_
・１円玉募金　など</t>
  </si>
  <si>
    <t>会長　清水　秀人</t>
  </si>
  <si>
    <t>札幌市内、道内全域</t>
  </si>
  <si>
    <t>平成23年03月</t>
  </si>
  <si>
    <t>北海道におけるカーリンコンの普及啓蒙を図り、健康体力づくりに貢献する。合わせて中高年齢者の生涯スポーツとして普及推進し、健康福祉の向上に寄与することを目的とする。</t>
  </si>
  <si>
    <t>・カーリンコンの普及啓発活動_x000D_
・カーリンコンの指導者育成_x000D_
・カーリンコンに関する出前教室　講習会　研修会　大会の開催_x000D_
・中高年齢者の体力づくり_x000D_
・地域コミュニティづくりと活性化の推進_x000D_
・その他目的達成のための必要な事業</t>
  </si>
  <si>
    <t>・インストラクター資格認定研修会の開催（年２回不定期）_x000D_
・老人福祉センター教養講座（中央～毎月、北～毎月２回（４月～））_x000D_
・出前教室（年40回～介護予防C、老人クラブ、自治会、UR・道営・市営住宅、各イベントなど）_x000D_
・市さぽーとほっと基金助成事業に参画（東日本大震災被災者支援活動）_x000D_
・普及活動の推進（道社協との連携事業）～函館市、帯広市、苫小牧市、北見市、釧路市_x000D_
・同上（日高地区社協との連携事業）～日高町社協、平取町社協_x000D_
・大会への参加・開催（全国大会、札幌大会、ホテル大雪杯、UR団地交流会、ホテル鹿の湯年忘れ大会）</t>
  </si>
  <si>
    <t>会長　小林　俊勝</t>
  </si>
  <si>
    <t>札幌市内スキー場</t>
  </si>
  <si>
    <t>昭和54年11月</t>
  </si>
  <si>
    <t>障害者スキーの普及発展及び指導の確立と指導者の養成並びにスポーツ精神の涵養を図る。</t>
  </si>
  <si>
    <t>講習会の開催及び全道ハンディキャップスキー大会の開催。</t>
  </si>
  <si>
    <t>昭和５５年２月に第１回全道ハンディキャップスキー大会を開催以降３７年間にわたり大会を継続してきた。その間、札幌市はもとより全道各地で障害者スキーヤーを育成すると共に、障害者スキーに於ける指導法・競技方法の確立を図り指導者ならびに選手の育成を行ってきた。最近では、札幌市内の小学校で行われるスキー授業に指導者を派遣し、障害を持つ児童のスキー授業参加を支援している。</t>
  </si>
  <si>
    <t>代表　星野　恵</t>
  </si>
  <si>
    <t>平成28年01月</t>
  </si>
  <si>
    <t>平成28年05月</t>
  </si>
  <si>
    <t>札幌発『喜楽に子育てが出来る社会へ』_x000D_
“子育ては、２４時間休みはない”子育ての大半は、“大変・びっくり・大騒ぎ・怒る・泣きたくなる（でも泣けない）・しんどい（でも休めない）・つらい・不安”なことだらけで、ふとした我が子の姿に安堵する。それで本当に母親は苦しくないのか？悲しい時もあるのではないか？「母親なんだから」と思って、苦しみや悲しみを表現してはいけないと思っている人は多い。母親が抱えるその苦しみや悲しみが、“全部無くなる”とまではいかなくても、半減したらどうでしょう？２割、３割減ったら、子どもや家族に向ける笑顔、５割り増しになりませんか？_x000D_
だから、「笑顔を増やす、何かがしたい」と思い活動を始めました。</t>
  </si>
  <si>
    <t>０～１２歳までの子供を持つ母親で運営しています。お下がり交換会を始め、母親目線の、“こんなのあったらうれしい”というイベントを企画・運営しています。_x000D_
私たちスタッフは、支援する側ではなく、あくまでも一人の母親なので、助け合いたいのです。お互いが助け合い、支え合う母親達の繋がりを作る場を提案しています。</t>
  </si>
  <si>
    <t>平成２８年５月　第１回　子育て世代のための『お下がり交換会』開催_x000D_
平成２８年７月　外遊びイベント『色ｉｒｏ親子わんぱくランド』開催　北海道新聞掲載_x000D_
平成２８年１０月　第２回　子育て世代のための『お下がり交換会』開催_x000D_
平成２９年１月　外遊びイベント『冬だ！雪だ！親子ｄｅ雪中運動会！！』開催_x000D_
平成２９年２月　ＮＰＯ北海道ネウボラ　ＮＰＯ法人ファザーリングジャパン共同開催_x000D_
　　　　　　　　　　『安藤パパの絵本ライブ～父親が育む子供の感性～』開催_x000D_
平成29年5月、7月　第3回、第4回子育て世代のための『お下がり交換会』　開催</t>
  </si>
  <si>
    <t>代表　米坂　尚美</t>
  </si>
  <si>
    <t>もくばコミュニティハウス（札幌市厚別区厚別中央4条4丁目1-21）</t>
  </si>
  <si>
    <t>平成28年03月</t>
  </si>
  <si>
    <t>平成28年04月</t>
  </si>
  <si>
    <t>厚別中央地域の子ども達に、自分で歩いて行ける場所で美味しい時間を共有してもらい、地域の人と人との繋がりを深め、食を通じて生かされていることの有り難さや生きる力を育むとともに、味わうという繰り返しの中で心の絆が生まれ、子どもの心を安定・成長させ、人としてのマナーや文化を身につけ、考える力を育んでいくことを目的とする。</t>
  </si>
  <si>
    <t>・「こども食堂」の開催（毎月第４木曜日）_x000D_
・「親子料理教室（おやじの料理教室）」の開催（半年に１回程度）_x000D_
・「コミュニティサロン」の開催（随時）_x000D_
・その他（こども料理大会、おふくろの味伝承、手芸教室　他）</t>
  </si>
  <si>
    <t>・平成28年4月28日、7月7日　「こども食堂」開催_x000D_
（※平成28年7月～12月はコミュニティハウス改修工事のため活動休止）_x000D_
・平成28年10月8日「地域あそびまつり2016」出店_x000D_
・平成28年12月～兵士江29年11月「こども食堂」開催（毎月第4木曜日）_x000D_
・平成28年12月～平成29年11月　「フリースペースもくきち」開催（毎月第2木曜日と第4土曜日）_x000D_
・平成29年1月15日　「信濃ボードゲームサークル」飲食支援_x000D_
・平成29年4月15日　「もくきちバザー」開催_x000D_
・平成29年5月1日　「こどもの日企画」開催_x000D_
・平成29年9月20日　「おとな食堂」開催_x000D_
・平成29年10月7日　「地域あそび祭り2017」開催_x000D_
・平成29年10月29日　「ハロウィンパーティー」開催</t>
  </si>
  <si>
    <t>代表　亀岡　純子</t>
  </si>
  <si>
    <t>平成28年02月</t>
  </si>
  <si>
    <t>家庭環境により、親と一緒に食事を取れない子ども、また、経済的に満足に食べることができない子どもらに手作りで安価な食事を提供する目的で設立。</t>
  </si>
  <si>
    <t>第1、第2、第3水曜日　16時00分～19時30分まで_x000D_
こども100円　中学生以上300円で夕飯を提供_x000D_
また、ホールで大人のボランティアが共に遊ぶ</t>
  </si>
  <si>
    <t>平成28年6月オープンから平成29年2月まで、全17回開催_x000D_
来店者　こども166名　中学生以上106名_x000D_
（平成28年6月～12月は月2回、1月休み、2月は3回）_x000D_
12月17日は手稲区母子会学習塾のクリスマス会で出張し、夕食を用意させていただいた。</t>
  </si>
  <si>
    <t>会長　江本　匡</t>
  </si>
  <si>
    <t>平成12年04月</t>
  </si>
  <si>
    <t>平成12年06月</t>
  </si>
  <si>
    <t>近年の環境問題は、身近な地域の公害から始まって、温暖化等地球規模の広範囲に亘る問題が発生しています。また、その発生機序は、事業活動のみならず一般市民活動にも起因しているため、その原因は複雑多岐に及んでいます。　これらの問題を解決するためには、先ず北海道民の全てが環境に関する正しい知識を持つことが必要で、学校・家庭・地域が一体となって環境を大切にする心を 育成する環境教育指導者育成事業を推進する等して指導者を増加させ、北海道民の心に地球環境問題を啓発して、道民一人一人が現在できることを実践すること が最も大切と考えています。　そこで環境保全に関する専門的な知識・経験を有する人材が多数集まり、特定非営利活動法人北海道環境カウンセラー協会を結成し、市民・教育機関・企業及び行政機関と連携して、これらの環境保全活動の推進に寄与することを目的としています。</t>
  </si>
  <si>
    <t>特別非営利活動法人北海道環境カウンセラー協会は次の3つ事業を実施しています。_x000D_
１　環境教育事業…環境等知識の普及啓発のため、一般公開講座及び自主研修会の開催等_x000D_
２　環境保全事業…自然環境保全、環境マネジメントの普及啓発及び公害等の防止相談等_x000D_
３　環境支援事業…行政機関及び事業者等の環境対策事業に対する支援、提案、調査等</t>
  </si>
  <si>
    <t>１　環境教育関連事業_x000D_
協会設立以来、北海道環境サポートセンターとの共催による連続学習講座“環境カウンセラーと考える持続可能な未来”と題して環境学習セミナーを８回開催し、その後もメンバーによる環境学習フォーラム北海道を年度ごとに開催して成果を上げ、2004年10月にはＥＣＵ事業の環境教育・環境学習指導者養成セ ミナー“環境教育の進め方”を多勢の方々の協力の下に開催した。また、環境教育情報交換会を開催した。　現在は、「環境学習フォーラム北海道」と連携しながら、教員や一般の方を対象とした「持続可能な社会を目指す環境学習セミナー」などの学習会、見学会などを、年2～3回程度開催している。_x000D_
２　環境保全事業_x000D_
協会設立以来、環境マネジメント推進説明会の開催、エコアクション２１の推進、ホームページを活用した広報・相談事業を主な内容としている。エコアク ション２１及び北海道版の環境マネジメントシステム（ＨＥＳ）の普及説明会は３年間に１０回を超え、多くの参加者を数えており、メンバーによる企業の支援先も２５社以上となっている。　現在は、環境マネジメントシステム（エコアクション21）の無料相談を当協会の事務局である札幌エルプラザ２階札幌市市民活動サポートセンター内事務ブースNo.2で実施しており、平成２８年度は事務局を拠点として産廃処理業者優良認定支援事業を行った。_x000D_
３　環境支援事業_x000D_
2002年度〜2005年度、環境省北海道地方環境事務所（調査官事務所以来）に契約によりメンバーを派遣して支援事業を行った。2006年度〜2009年度は、北海道環境パートナーシップオフィスにメンバーを派遣して支援事業を行った他、環境省北海道地方環境事務所の参加するイベント等の支援を行った。現在は、環境省主催の研修事業の支援を行っている。４　地域共同事業　　札幌市・石狩市の環境審議会委員、温暖化防止活動推進センターへの委員の派遣を行った。また、北海道ゼロエミ大賞委員、環境道民会議企画委員にメンバーを推薦し活動中。エコアクション ２１審査人（１０名）、環境学習フォーラム北海道（教育経験者）をはじめ、地域の団体、自治体、学校や企業と連携の下、多様な事業に参画、活動している。</t>
  </si>
  <si>
    <t>会長　渡邊　アヤカ</t>
  </si>
  <si>
    <t>札幌市東区民センター</t>
  </si>
  <si>
    <t>昭和52年11月</t>
  </si>
  <si>
    <t>当会設立の目的は「会内の文化団体及び文化人相互の連携協調を図り、伝統文化の向上と普及・発展を期す」ことを理念としています。会員一同は、市民とのふれあいによるまちづくり推進に役立つ活動を、また、次世代への文化継承者育成にも重点をおき施策を続けています。</t>
  </si>
  <si>
    <t>東区内で活動している伝統芸術（生け花・書・盤景等）・伝統芸能（詩吟・詩舞・邦楽・邦舞・洋舞）・生活文化（茶道・絵画・切り絵等）の研鑽に勤しむ会員は、生きがいの成果を東区民センターで発表。年間3度の施策内容のすべては、年次会報に記録保存しています。</t>
  </si>
  <si>
    <t>昭和52年に発足した当会は、本年で設立41年の年輪を刻み、年間の伝統行事として①『春の芸能祭』（3月）②『東区邦舞まつり』（7月）③『オータムフェスティバル』（10月）を開催。伝統文化の普及活動を展開し、また地域とのふれあい活動にも配意した施策を実践中です。</t>
  </si>
  <si>
    <t>会長　丸山　和男</t>
  </si>
  <si>
    <t>札幌市西区八軒地区</t>
  </si>
  <si>
    <t>昭和47年04月</t>
  </si>
  <si>
    <t>地域内の町内会及び自治会の連絡調整と健全な発展育成を図るとともに、地域住民の親睦と福祉の増進及び文化の向上に寄与することを目的とする。</t>
  </si>
  <si>
    <t>設立目的を達成するため、下記の部会を置き、事業を行う。_x000D_
【総務部】会の業務の総括、連絡調整、機関誌の発行　        　【青少年部】青少年の健全育成、子供会の育成_x000D_
【会計部】会の会計に関すること　　　　　　　　　　　         　    　　【福祉部】ボランティア活動の推進、敬老会の実施_x000D_
【衛生部】環境衛生の改善及び向上、保健衛生思想の普及_x000D_
【女性部】女性活動の推進、女性の知識高揚・親睦、健康増進_x000D_
【防犯防災部】犯罪の予防、火災等災害の予防、予防思想の普及_x000D_
【交通安全部】交通事故防止運動、交通安全施策の実施</t>
  </si>
  <si>
    <t>【主な活動・行事】_x000D_
・八軒ふれあい祭り（実行委員会で実施）　　　　_x000D_
・各町内会ｺﾞﾐｽﾃｰｼｮﾝ巡回指導_x000D_
・敬老会　　　　　　　　　　　　　　　　　　　　　　　  _x000D_
・胃・大腸、婦人科健診_x000D_
・アイスキャンドル冬物語_x000D_
・会報「はちけん」発行（年２回）_x000D_
・交通安全総決起大会（交通安全パレード）　　  _x000D_
・新年交礼会_x000D_
・交通安全街頭啓発　　　　　　　　　　　　　　　　  _x000D_
・町内会長等研修会_x000D_
・琴似発寒川の美化清掃</t>
  </si>
  <si>
    <t>代表理事　浜中　裕之</t>
  </si>
  <si>
    <t>平成24年06月</t>
  </si>
  <si>
    <t>不特定多数の市民・団体等に対して、次代を担う起業家型リーダー育成に関する事業を行い、若者により積極的に社会参加し地域活性化に貢献できる場を提供することで、北海道地域経済の活性化に寄与することを目的とする。</t>
  </si>
  <si>
    <t>①プロジェクト型インターンシップの普及・推進。_x000D_
②起業家型人材育成に関する資料の収集及び調査研究。_x000D_
③起業家型人材育成に関する教育普及。_x000D_
④起業家型人材育成に関する助言又は支援・協力。</t>
  </si>
  <si>
    <t>①プロジェクト型インターンシップ　累計500名以上のマッチング_x000D_
②小樽商科大学、札幌市立大学、北翔大学、旭川大学、千歳科学技術大学と連携し「SUMMER JOB FESTA」を実施（文科省事業）_x000D_
③北海道長期インターンシップ調査事業を実施（経済産業省事業）</t>
  </si>
  <si>
    <t>会長　玉池　俊道</t>
  </si>
  <si>
    <t>平成27年04月</t>
  </si>
  <si>
    <t>スノースポーツ文化やスノースポーツ技術を普及し、世代を問わずスノースポーツを行うことのできる環境作りを目的とする</t>
  </si>
  <si>
    <t>スノースポーツの企画、運営_x000D_
トップアスリートの育成強化_x000D_
Jr選手の発掘、育成、強化</t>
  </si>
  <si>
    <t>2016年4月、2017年3月にワールドカップ出場選手とJr選手の合同トレーニングイベントを開催_x000D_
2016年9月に夏季トレーニングイベントを開催</t>
  </si>
  <si>
    <t>代表　湊　克之</t>
  </si>
  <si>
    <t>三角山（西区）</t>
  </si>
  <si>
    <t>平成27年08月</t>
  </si>
  <si>
    <t>平成27年05月</t>
  </si>
  <si>
    <t>札幌市の三角山（標高311Ｍ、一等三角点）の自然保護を目的とする。</t>
  </si>
  <si>
    <t>１．三角山の緑の保全と採石跡地の緑化を推進。_x000D_
２．市民の自然学習と自然緑化の体験の機会をつくる。_x000D_
３．三角山の歴史の掘りおこしと採石の記録誌の作成。_x000D_
４．三角山の自然の有効活用の促進。_x000D_
５．多くの市民に理解を深める活動の推進。</t>
  </si>
  <si>
    <t>１．三角山のフォーラムの開催（H27.8.11）_x000D_
２．採石の歴史の学習会（H28.11.29）_x000D_
３．三角山の採石跡地への立ち入り調査_x000D_
　　H30年　７月～11月　５回_x000D_
　　令和元年　４月～10月　７回_x000D_
　　令和２年　４月～10月　７回_x000D_
４．三角山のDVDの作成_x000D_
５．三角山と採石についての歴史資料の収集と展示の開催_x000D_
６．不法投棄車の撤去の実現（H29.5.23）_x000D_
７．現地に説明看板の設置_x000D_
８．札幌市に要望と提言</t>
  </si>
  <si>
    <t>会長　鳥越　慎吾</t>
  </si>
  <si>
    <t>会員の団結親睦を図り獣医学術の発達普及と獣医事衛生の進歩を図り、各自協力し札幌市の衛生文化の向上に寄与するを以て目的とする。</t>
  </si>
  <si>
    <t>札幌市内で動物病院を開業している獣医師が本会の目的に賛同し所属している、通称「札小獣（さっしょうじゅう）」とよばれている団体です。_x000D_
本会の主な活動用内容は、_x000D_
１．公衆衛生関連事業（狂犬病予防接種業務、犬の鑑札・注射済票の発行）_x000D_
２．動物愛護及び啓発事業（児童動物画コンクール、人とペットの暮らしの広場、市民公開講座、アニマルセラピー活動、野生動物保護等の活動）_x000D_
３．獣医事・研修事業（学術講習会、動物看護師研修会等）_x000D_
となっており、会員がそれぞれの活動に合わせた6つの委員会のいづれかに所属し、日々の診療をしながらも時間を作り活動しております。</t>
  </si>
  <si>
    <t>平成28年度後期～平成29年度前期より抜粋_x000D_
平成28年10月　市民公開講座「ペットフードの正しい知識と選び方」_x000D_
平成28年11月　動物看護師研修委員会主催第1回セミナー_x000D_
平成28年12月　動物看護師研修委員会主催第2回セミナー_x000D_
平成29年2月　狂犬病業務新規選任獣医師説明会・狂犬病予防業務会議_x000D_
平成29年6月　全道警察犬訓練協議会および審査会への獣医師派遣_x000D_
平成29年7月　学術委員会主催学術セミナー、児童動物画コンクール開催_x000D_
平成29年8月　北海道盲導犬協会の検査協力_x000D_
平成29年9月　人とペットの暮らし広場開催</t>
  </si>
  <si>
    <t>代表　小林　陸男</t>
  </si>
  <si>
    <t>札幌市内～北海道内全域</t>
  </si>
  <si>
    <t>障がいの種別を超え、会員相互の親睦交流及び研修をはかるとともに北海道住民の障がい福祉の理解を深め、人としての尊厳を守る環境を作るために広く寄与することを目的とする。</t>
  </si>
  <si>
    <t>障がいのある人もない人も、共生していける社会を目指して、各方面に障がい当事者自ら発信していく活動をしています。知らないから差別や偏見が生まれるのだと考えます。まずは、知っていただくこと、関わっていただけるように、講師活動やイベントを開催。また、スキルアップの為の研修や、障がい者の居場所作りの交流会などを行っています。</t>
  </si>
  <si>
    <t>平成25年　4月日本人初、車いすでキリマンジェロの登頂成功した猪飼氏、報告会　7月学習会　障がい者の震災時について学生とワークショップ&amp;DVD上映会　10月ユニバーサルデザインを考える学習会_x000D_
平成26年　7月札幌ビヤガーデンバリアフリーチェック　9月ヤマト福祉財団助成金事業フォーラム「障がいのある人のファッションと福祉を考える」_x000D_
平成27年　10月手話講座　12月障がい平等研修「障がいってなあに」JICA研修_x000D_
平成28年　6月障がい当事者によるスピーチマラソン「第1回チャレンジ」開催_x000D_
平成29年　6月障がい当事者によるスピーチマラソン「第2回チャレンジ」開催</t>
  </si>
  <si>
    <t>代表理事　曽田　雄志</t>
  </si>
  <si>
    <t>産官学アスリートの連動により、アスリートが培ったフィジカル・メンタルスキルを北海道の学校教育や企業ブランディングなど、地域の力として活かす仕組みを構築するとともに、子どもへの平等な成長機会を提供し、一人でも多くの人がスポーツを楽しめる機会を創出。また、現役アスリートへの教育を行うと同時に、引退したアスリートのセカンドキャリア創出を積極的にサポートすることを目的とする。</t>
  </si>
  <si>
    <t>札幌市内小中学校の体育授業へ、A-banｋアスリートを無償で継続的に派遣する「アスリート先生」を実施すると同時に、札幌市からの委託により、市内中学校の部活動へアスリートを派遣する「運動部活動アスリート派遣事業」も実施している。また、北海道を含めた各自治体からの要請、道内企業との連携により、地域のスポーツの普及振興、子どもの育成を行う。札幌市内で行っている「アスリート先生」を善導に拡げた「アスリート先生１７９」も実施している。さらに公共施設を本拠地とした道内初のスポーツクラブ「厚別アスリートアカデミー」の共同運営や、女子サッカーチーム「ノルディーア北海道」の運営協力も行っている。</t>
  </si>
  <si>
    <t>平成26年度　市内14校の小中学校体育授業・部活動へアスリート派遣　4種目　110コマ　生徒数1,206名_x000D_
平成27年度　市内120校の小中学校体育授業・部活動へアスリート派遣　6種目　147コマ　生徒数1,543名　第1回「まちなか運動会」開催　参加者250名以上、観覧者約2,083名_x000D_
平成28年度　市内24校の小中学校体育授業へアスリート派遣　6種目　計155コマ　生徒数2,083名　札幌市からの委託により、市内10校の中学校運動部活動へアスリート派遣計220回　第2回「まちなか運動会」開催　参加者450名以上、観覧者約2,000名　厚別公園競技場と共同で道内初の公共施設を拠点としたスポーツクラブの運営をはじめる_x000D_
平成29年度　市内30校の小中学校体育授業へアスリート派遣　8種目　約180コマ　生徒数約2,400名　札幌市からの委託により、市内16校の中学校運動部活動へアスリート派遣 計352回　他、道内各地域・企業主催イベント・専門学校等へのアスリート派遣、イベント企画運営など多数を行う</t>
  </si>
  <si>
    <t>理事長　堀川　淳子</t>
  </si>
  <si>
    <t>西区</t>
  </si>
  <si>
    <t>平成16年03月</t>
  </si>
  <si>
    <t>主として地域の高齢者の食事と健康で文化的な生活の維持を図るために情報やサービスの提供を行い、地域の福祉、まちづくりに寄与するために活動する。</t>
  </si>
  <si>
    <t>①2004年から主として高齢者の食事と健康で文化的な生活の維持を図るためにコミュニティカフェ「西野厨房だんらん」を運営し、食事や情報の提供を行ってきた。_x000D_
②この間「コミュニティカフェを作ろう」「コミュニティペーパーでまちづくり」「いま、心の住かをみつめて」など地域の福祉やまちづくりに関する講座や講演会を開催した。_x000D_
③2015年中央区の町内会と連携して住民連携文化交流サロン「えいと」を開設し地域住民の居場所として運営している。_x000D_
④2016年からは「地域の子どもたちを地域で見守り育てる」という趣旨のもと高齢者とこどもが一緒に食事をし交流する機会として「西野厨房だんらん」を毎週1日「西野こども食堂kaokao」として運営。</t>
  </si>
  <si>
    <t>①「西野厨房だんらん」はコミュニティカフェのさきがけとして活動を開始し１３年館継続して運営している。_x000D_
②講座や講演会を開催したことにより新たな「コミュニティカフェ」の立ち上げに協力・支援を行ったり、調理や口座の講師を派遣した。また、講座の実績として「あたしゃ西野の蕎麦がいい」の小冊子を発行した。_x000D_
③2015年に運営を始めた住民連携文化交流サロン「えいと」では継続して講座、講話・文化教室を定期的に継続して開催している。_x000D_
④2016年から始めた「西野こども食堂kaokao」は毎回40人以上の子どもが集まり高齢者も一緒に食事や遊びで交流し子どもの重要な居場所として定着してきている。</t>
  </si>
  <si>
    <t>理事長　坂上　真由美</t>
  </si>
  <si>
    <t>札幌市、北海道を含む全国</t>
  </si>
  <si>
    <t>平成28年07月</t>
  </si>
  <si>
    <t>全国の保健所やセンターに収容されている犬や猫、野良犬や猫を保護し新しい飼い主（里親）に繋げるためと啓発活動を目的とする。</t>
  </si>
  <si>
    <t>飼い主のいない犬や猫、野犬として暮らす犬等を保護し、里親につなげる活動を主に多くの方々に命のチアせつさを知ってもらい札処分の廃止に向けての活動に努めます。</t>
  </si>
  <si>
    <t>平成16年7月より平成18年現在まで、札幌市動物管理センター、苫小牧保健所、根室保健所を含む全国の保健所から、犬43頭、猫17匹、保護権の譲渡数33頭、猫の譲渡数13匹。_x000D_
　里親を募集している犬又は猫はHPに軽鎖して保護施設内にて通年を通し里親希望者様との面会をしていただいています。</t>
  </si>
  <si>
    <t>理事長　武石　隆夫</t>
  </si>
  <si>
    <t>札幌市内及び近郊</t>
  </si>
  <si>
    <t>平成25年11月</t>
  </si>
  <si>
    <t>平成26年03月</t>
  </si>
  <si>
    <t>緑あふれる環境をつくる活動を大目標に、幼稚園保育園の堰堤芝生化の活動、一般市民への造園局化技術技能の啓蒙活動、街並みの緑環境の改善や演出の活動等を通じて品質の優れた緑あふれる街並み創りに寄与する事。</t>
  </si>
  <si>
    <t>幼稚園・保育園の園庭芝生化普及のための支援活動及び実施活動_x000D_
一般市民に対する造園緑化技術技能の啓蒙活動（講習会等）_x000D_
街並みの緑環境の改善及び演出する活動（植栽プランターの設置、緑地の回収や維持管理）_x000D_
造園技術者（技能者）に対する技術支援活動（活動休止中）</t>
  </si>
  <si>
    <t>１．園庭芝生化他整備の活動_x000D_
H26年度：保育園1ヶ所_x000D_
H27年度：保育園3ヶ所_x000D_
H28年度：保育園他4ヶ所_x000D_
H29年度：保育園他6ヶ所_x000D_
２．講習会の活動_x000D_
H26年度：2町内会6回開催_x000D_
H27年度：1町内会6回開催_x000D_
H28年度：2町内会10回開催_x000D_
H29年度：1町内会6回開催_x000D_
３．植栽演出の活動（植栽プランター設置）_x000D_
H26年度：5ヶ所20基_x000D_
H27年度：3ヶ所10基_x000D_
H28年度：10ヶ所44基_x000D_
H29年度：10ヶ所44基_x000D_
市NPO地域連携促進事業参加による活動_x000D_
H28年度：2町内会2回開催_x000D_
H29年度：3町内会3回開催</t>
  </si>
  <si>
    <t>代表　山下　淳子</t>
  </si>
  <si>
    <t>ふらっとスペース・手稲</t>
  </si>
  <si>
    <t>生活に困窮はしていなくても、毎日親子だけで食事をしていたり、毎日一人で食事をしている人たちもいます。_x000D_
そんなふだん一人で晩御飯を食べている大人から子どもまで、毎月２回、いっしょにご飯を食べたり、お話しをしたりする場を手稲に作りたい。そんな思いを共有する方々と、「ていねキママ食堂」開設を考えました。楽しいことも、つらいことも、色々ある毎日の中で、ここへ来ればホッとできる。「あそこへ行ってみよう！」そんな気持ちになれる場所を手稲につくりたい。そんな思いで「ていねキママ食堂」をオープンししました。手稲で、子どもも大人も、みんなが寄り添い、ホッとできる居場所。そんな場所に「ていねキママ食堂」をしていきたいと思っています。</t>
  </si>
  <si>
    <t>申込(参加)方法：チラシを見て、参加希望の方に電話・FAX・メールで事前に申込をしてもらいます。 _x000D_
参加料：子ども（高校生まで）100円 _x000D_
　　　　　大人（お子さんといっしょに参加の父母）１00円、７０歳以上　２００円 _x000D_
　　　　　大人（上記以外の方）300円 _x000D_
　実施日：原則毎月第3金曜日17：00～、第１土曜日１２：００～ランチに月2回実施 _x000D_
　　　　　毎回、食事のメニューも子どもが参加できる物を提供しています _x000D_
・子どもが、高齢者に作ってあげたり、食後も片づけを進んでして役割を担っています。食後には、講師を招いての「遊び」をしていましたが、近くに公園があり小さい子を誘いながら遊んでいます_x000D_
・キママ食堂参加の親子が「安心・安全」な無農薬の野菜を作って、キママ食堂だけでなく近隣の子ども食堂に分けてます</t>
  </si>
  <si>
    <t>平成３１年度４月から路面の戸建てに転居して、町内会の総会で、紹介を受けて、案内し近隣の地域の人の参加が増加した、小学校区が手稲鉄北小学校で、以前からチラシを校内に置かせてもらっていたが、直接下校時に手渡しすると友達を誘いながら、親子で参加する子も増加した。公園で、誘い合って一人で食事している子も気軽に参加出来た。_x000D_
スタッフは、昨年からの継続で、「前田会館の近隣」の方が月１回は協力してくれている。高齢者で、料理を覚えたいと来てくれる人もそのまま継続している。新しく生きづらさを抱えた若者が、休みの時、料理に参加している。_x000D_
毎回の報告は、フエスブックにアップして、反応も大きい。_x000D_
市内の「子供食堂ネットワーク」と繋がり、食材の提供や、「食中毒対応保険」など有益な情報を得ている。</t>
  </si>
  <si>
    <t>代表　御家瀬　真由</t>
  </si>
  <si>
    <t>平成24年07月</t>
  </si>
  <si>
    <t>医療的ケアを必要とする子どもたちの在宅生活を支える専門職の連携を築き、職種の垣根を越えて情報を共有し合い相談し合える場を提供することで、地域の小児在宅ケアの発展を目的としています</t>
  </si>
  <si>
    <t>１．子ども在宅ケアネットワーク（CHCネット）の開催_x000D_
①顔の見える連携を実践するために年2回連絡会を開催し、職種の子おtなる専門職との交流の場を提供する_x000D_
②子どもの在宅ケアに関する勉強会や講演会等を開催し、学びの場を提供する_x000D_
２．こども在宅ケアネットワークメーリングリスト（CHC-net）の運営_x000D_
①共に支え合う連携を実践するために個々に抱えた事例について適時に相談できる場を提供する_x000D_
②研修の案内等を含め、各専門職が保有数r専門知識の情報交換の場として活用する</t>
  </si>
  <si>
    <t>2012年7月　訪問看護リハビリテーション座談会を開催し、「子ども在宅ケアネットワーク（CHCネット）」開設を決定_x000D_
・・・・・・・・・・・・・・・・・・・・・・・・・・・・・・・・・・・・・・・・・・・・・・_x000D_
◆CHCネットの開催_x000D_
2012年10月　開催目的や内容について検討、メーリングリスト（CHC-net）の開設_x000D_
2013年1月　北海道訪問看護実践発表会にて演題発表「重症児をチームで支えるネットワーク構築に向けての取り組み-子ども在宅ネットワークを立ち上げて-」（雑誌『ベストナース』に掲載）_x000D_
2013年2月　「重症心身障がい児の退院支援、療育、在宅支援において大切なこと・必要なこと」（参加者11職種63人）_x000D_
2013年5月　「入院中から始まる重症心身障がい児の在宅支援」（14職種58人）_x000D_
2013年8月　「医療的ケア児の退院支援を考える」（16職種48人）_x000D_
2013年12月　「急性期病院のNICUから退院した医療的ケア児の支援をつなぐ」（13職種68人）_x000D_
2014年3月　「重症心身障がい児と児童相談所の関わり、施設について」（14職種64人）_x000D_
2014年9月　「療育と保育、教育そして医療分野における連携のあり方」（16職種67人）_x000D_
2015年3月　「在宅の重症心身障がい児支援における現状と課題」（15施設73人）_x000D_
2015年6月　CHC実行委員会を発足_x000D_
2015年11月　「重症心身障がい児の在宅療養における介護・看護・医療の連携」（15職種76人）_x000D_
2016年8月　「子どものグリーフとは何かを学び、共に語り合ってみよう」（18職種86人）_x000D_
2017年2月　「障がいを持つお子さんとご家族の住環境について考える」（13職種59人）_x000D_
2017年9月　「医療的ケア児への相談支援について－役割分担とつなぎ方－」（21職種108人）_x000D_
・・・・・・・・・・・・・・・・・・・・・・・・・・・・・・・・・・・・・・・・・・・・・・_x000D_
◆NHK札幌放送局にて紹介_x000D_
2016年4月　ほっとニュース北海道『子どもの在宅医療』_x000D_
2017年5月　北海道クローズアップ『子どもたちを守りたい～医療的ケア 支援の現場から～』</t>
  </si>
  <si>
    <t>理事長　小嶋　英生</t>
  </si>
  <si>
    <t>平成18年02月</t>
  </si>
  <si>
    <t>平成18年08月</t>
  </si>
  <si>
    <t>北海道を中心とした積雪寒冷地において自然が生成した雪氷を、主として都市部の冷熱エネルギー源や公園等の植物に対する散水として供給し、ヒートアイランド現象等の地球環境の保全に寄与する事を目的として設立いたしました。</t>
  </si>
  <si>
    <t>積雪寒冷地において生成される雪や氷は環境にやさしい冷熱エネルギーとして注目されている中で、自然とのバランスを保ちながら、天然の幸也氷の確保を積極的に推進し、農産物の冷蔵貯蔵や夏季の冷房などへの利用を促進するため、勉強会や視察会、雪氷エネルギーを利用した食材の試食会を開催するなどの活動を行っています。また、雪氷エネルギーの理解促進を目指すうち、これからは地域コミュニティとの関わりが重要になってくると考え、まちづくりに係る活動も多く取り組んでいます。</t>
  </si>
  <si>
    <t>平成29年度活動実績_x000D_
【1】技術研究会を開催_x000D_
1月6日「札幌で新しい農業を始めます」JFEエンジニアリング株式会社　顧問　三部英二様_x000D_
3月24日「雪と温泉でマンゴー白銀の太陽」農業生産法人ノラ・ワークス　代表取締役　中川裕之様_x000D_
6月15日「食糧・農業は北海道の力」北海道経済連合会　元会長　近藤龍夫様_x000D_
7月13日「社会と協働する資産運用」株式会社LEE不動産　代表取締役　坂上一樹様_x000D_
9月14日「雪活用の温度差発電」釧路工業高等専門学校　名誉教授　東藤勇様_x000D_
10月24日「環境社会を創る企業と自治体の連携」三井不動産株式会社　社会・環境推進室長　杉本健一様_x000D_
【2】雪氷視察会を開催_x000D_
6月22日新千歳空港雪冷房施設/北海道ガス技術開発研究所/五島冷熱実験サイト及び本社雪冷房施設_x000D_
6月23日美唄ハイテクセンター/美唄ホワイトデータセンター/ホワイトラボ_x000D_
8月2日アミノアップ化学本社雪冷房施設/五島冷熱本社雪冷房施設_x000D_
【3】沼田町を食べ呑み買う会を開催_x000D_
5月26日12:00～16：00ことに大和家にて_x000D_
【4】全国商工連合会の支援を得て雪氷貯蔵食品等のブランド再構築事業を実施_x000D_
2月20～21日東京・横浜のシェフ対象に札幌、美唄、沼田、余市の雪氷貯蔵施設の視察会を開催。_x000D_
2月26日横浜市内にて雪氷貯蔵食品試食会を開催。</t>
  </si>
  <si>
    <t>実行委員長　近藤　亘</t>
  </si>
  <si>
    <t>札幌市北区新琴似</t>
  </si>
  <si>
    <t>地域住民が自ら創る文化イベントとして、新琴似地区に住んでいることの誇りを感じてもらい、また、年齢や性別に関わらず多くの方々にご来場いただくことにより、地域の活性化や心の豊かさの向上を図ることを目的としております。_x000D_
テーマに「気軽に行ってみようと思える音楽イベント」を据え、下記の目標を掲げております。_x000D_
①誰もが参加しやすい出演者、観客、運営者が一体となった音楽祭_x000D_
②新琴似地区での文化芸術活動の定着と推進_x000D_
③本音楽祭を起点とした異世代交流から起こる地域の人材発掘及び地域コミュニティへの理解と参加の促進及び地域力の拡大_x000D_
本音楽祭の開催にあたりましては、「新琴似を元気にしたい」という初心を忘れずにご参加、ご協力くださるすべての皆様に来てよかったと言っていただける音楽祭に育てていきたいと考えております。</t>
  </si>
  <si>
    <t>●主要事業●新琴似音楽祭～音楽でしんことにを元気に！～_x000D_
場所　新琴似中央公園（札幌市北区新琴似8条11丁目１）_x000D_
内容　ジャンルを問わない楽器演奏および楽器演奏に附随した歌唱発表を主とする（事前選考による）_x000D_
入場料　無料_x000D_
実施者　主催：新琴似音楽祭実行委員会　共催：新琴似連合町内会_x000D_
後援：札幌市・札幌市教育委員会・新琴似西連合町内会_x000D_
その他：事業の趣旨に賛同した団体・企業及び個人_x000D_
●その他事業●新琴似カラオケコンテスト～プラザで歌ってみた。～_x000D_
場所　プラザ新琴似（札幌市北区新琴似7条4丁目1-3）_x000D_
内容　カラオケによる歌唱発表を主とする（カラオケ機器による採点）_x000D_
入場料　無料_x000D_
実施者　主催：新琴似音楽祭実行委員会　後援：プラザ新琴似運営委員会</t>
  </si>
  <si>
    <t>○平成27年9月6日（日）第1回「新琴似音楽祭」開催_x000D_
○平成28年2月21日（日）第1回「新琴似カラオケコンテスト」開催_x000D_
○平成28年9月11日（日）第2回「新琴似音楽祭」開催_x000D_
○平成29年2月19日（日）第2回「新琴似カラオケコンテスト」開催_x000D_
○平成29年9月10日(日）第3回「新琴似音楽祭」開催_x000D_
○平成30年2月18日(日）第3回「新琴似カラオケコンテスト」開催</t>
  </si>
  <si>
    <t>代表　遠藤　さちこ</t>
  </si>
  <si>
    <t>札幌市厚別区、北区</t>
  </si>
  <si>
    <t>平成21年08月</t>
  </si>
  <si>
    <t>平成21年09月</t>
  </si>
  <si>
    <t>幼児と小学生のための自由なアート表現の場を提供する事により心身の健康度を高めるため。また子育て中の保護者の悩み、相談を絵を通して行ったり、保護者自身もアートを通して自分を取り戻す時間の提供を目的として設立しました。</t>
  </si>
  <si>
    <t>●２歳から６歳までの子供を対象にした幼児クラス　　　幼児にお家では体験できないようなダイナミックなアート表現を提供すると共に同じ室内でお母さんのためのプチ・アートセラピーを提供している。閉塞的になりがちな子育ての息抜きや、子供の表現する楽しみの場の提供。　　　　　　　　　　　　　　　　　　　　　　　　　　　　　●７歳から１２歳までの小学生クラス　　　評価を伴わないアート表現を主軸に汚れる・散らかる・でも楽しい遊びを提供。うまく表現することより自分がしたい事すきな事を優先させられるアート表現の支援。アートセラピーを取り入れた心の表現も力を入れている。保護者の方には定期的に絵を通して発達相談の場を開催している。　</t>
  </si>
  <si>
    <t>・平成２１年９月に教育委員会の後援を受けて２歳から６歳の子供たちが絵の具だらけになって遊ぶイベントを開催_x000D_
・平成２１年１１月より厚別区にてちびぽっく幼児クラスをスタート。と同時に毎年３月にどなたでも参加できるイベントの開催_x000D_
・平成２５年４月より厚別区にてちびぽっく小学生クラスをスタート_x000D_
・平成２９年４月より北区にてちびぽっく幼児くらすちびちびぽっくをスタート_x000D_
・その他毎年イベントに呼ばれて市内・道外などでも出張クラスの開催</t>
  </si>
  <si>
    <t>代表理事　山田　智子</t>
  </si>
  <si>
    <t>中央区円山地区、および市内全域</t>
  </si>
  <si>
    <t>この法人は、次世代を担う子どもたちの健やかな成長を育む全ての人々が必要とする情報やサービスの提供、子育て支援のネットワーク推進に関わる事業を行い、全ての子どもが安心して心豊かに育つことが保障される地域社会の実現に寄与することを目的とする。</t>
  </si>
  <si>
    <t>①集会の会場や利用者宅などでの訪問保育及び子育て支援事業：訪問保育・産前産後サポート・グループ保育・預かり保育・2才児の森のようちえん「トコトコくらぶ」_x000D_
②子育て中の親子や様々な人が交流するつどいの広場事業：札幌市地域子育て支援拠点事業ひろば型「子育て拠点てんてん」・札幌大谷大学子育て支援センター「んぐまーま」_x000D_
③子どもが育つ環境や文化の調査研究及び推進・啓発事業_x000D_
④子育て支援に関わる研究事業及びネットワーク推進事業_x000D_
⑤子育ち・子育てに関わる情報収集と提供及び相談事業_x000D_
⑥全豪の事業に付帯する事業</t>
  </si>
  <si>
    <t>【2016年実績】_x000D_
①訪問保育320件/産前産後サポート132件/グループ保育81件/預かり保育176件/トコトコくらぶ火・水・金曜日クラス各子ども15名×1日3時間×43回_x000D_
②札幌市地域子育て支援拠点事業ひろば型子育て拠点てんてん138回開催・3863組8380人利用・講座26回/札幌大谷大学子育て支援センター「んぐまーま」47回開催・1539組・3333人・講座9回_x000D_
③北海道主催等の研修協力/講師派遣・出前講座コーディネート24件/スタッフ研修12回_x000D_
④ホームページでの情報提供/子育て通信31号～36号各1500部発行</t>
  </si>
  <si>
    <t>会長　堀崎　芳寛</t>
  </si>
  <si>
    <t>札幌市苗穂地区</t>
  </si>
  <si>
    <t>苗穂地区の各単位町内会相互の連絡を図り、もって地域住民の福祉と社会連帯意識の高揚を図ることを目的とする。</t>
  </si>
  <si>
    <t>（１）地域住民の福祉に関する事業_x000D_
（２）地区内における自主的広報活動並びに行政機関からのこうほう伝達の協力に関すること_x000D_
（３）行政機関その他公共機関との連絡及び協調_x000D_
（４）各町内会及び各種団体相互間の連絡並びに調整_x000D_
（５）その他本会の目的達成に必要なこと</t>
  </si>
  <si>
    <t>・子ども樽みこし_x000D_
・サマーフェスタ苗穂＆子ども盆踊り_x000D_
・グランドゴルフ大会_x000D_
・雪中運動会_x000D_
・交通安全街頭啓発</t>
  </si>
  <si>
    <t>会長　滝本　繁</t>
  </si>
  <si>
    <t>中央地区内の各単位町内会相互の連携と親睦を深め、もって社会連帯意識の高揚を図るとともに、地区内の環境・福祉並びに文化等の向上に寄与すること。</t>
  </si>
  <si>
    <t>中央地区に居住あるいは所在する約1300世帯・事業所が加入する団体であり、交通安全街頭啓発や地区清掃活動のほか、地域の子供の健全育成やお年寄りの見守り活動などに取り組んでおり、住みよい街づくりを進めるとともに、地域内の絆をより一層深める活動を行っている。</t>
  </si>
  <si>
    <t>平成29年度の主な活動_x000D_
・交通安全街頭啓発_x000D_
・一斉清掃活動_x000D_
・自主防災研修会_x000D_
・敬老会_x000D_
・「おしゃべりカフェ」「おしゃべりサロン」※地域の歴史と文化、話題のニュースなどを学ぶ集い_x000D_
・青少年日帰り旅行_x000D_
・青少年みつばち体験会</t>
  </si>
  <si>
    <t>代表　山下　一寛</t>
  </si>
  <si>
    <t>札幌市南区真駒内駅周辺</t>
  </si>
  <si>
    <t>平成29年06月</t>
  </si>
  <si>
    <t>母体の「まち班」はH26年「まちの先生運営会議」からスタート。H27年3月解散とともに住民主体の「まち班」を立ち上げました。幾つかの活動のプラットフォームを束ねる活動を行っています。そのプラットフォームのひとつが「真駒内駅前のまちづくりを考える会」です。H29年６月まち班から独立し活動を開始しました。_x000D_
会の目的は、まちづくりに市民参加を促し、その声を市政に反映することです。また、生活者としてのコミュニティ再生を図ることが目的です。_x000D_
本年度で３年目に入ります。</t>
  </si>
  <si>
    <t>札幌市は、真駒内駅前「再配置計画」を２０１9年秋には住民に計るといいます。_x000D_
そこで昨年度は住民側の対応として自らの住む地域がどんな特色を持つか勉強会を重ねてきました。そこへオリンピック、日ハム問題が浮上しました。まちは日ハム一色になりましたが、逆にわれわれの住む真駒内をどんなまちにしたいのかと検討の機運が高まって来たのも事実です。札幌市は、２０２１年度には「まちづくり指針」を「まちづくり計画」へ格上げする計画です。本来は「まちづくり計画」が「再配置計画」の前に来るべきです。その「まちづくり計画」への住民参加の可能性を切り開くため、ワークショップを重ね市民自治を育成することが目的です。</t>
  </si>
  <si>
    <t>毎月例会（コア会議、分科会）を開き議論を行っています。_x000D_
メインのイベント_x000D_
平成30年1月第4回勉強会「われわれに何が出来るか？１」_x000D_
平成30年2月第5回勉強会「われわれに何が出来るか？２」～市民の声を反映させる方法を考えましょう～　　　　　　　　　　　平成30年8月第6会勉強会「聴こう、話そう、真駒内の未来」_x000D_
平成30年12月第7回勉強会「聴こう、話そう、真駒内の未来２」現状報告：「真駒内駅前地区まちづくり検討委員会」行われる！_x000D_
令和元年4月第8回勉強会「地域協議会」を考える〜「真駒内駅前地区まちづくり地域協議会」の報告と意見交換_x000D_
令和元年8月まこまない盆踊りへ出店〜まちづくりビジョンの提示〜_x000D_
令和元年9月第9回勉強会「第2回地域協議会」を考える〜第2回地域協議会の報告と意見交換・まこまない盆踊会場」でのプレゼン報告～</t>
  </si>
  <si>
    <t>会長　高森　寿彦</t>
  </si>
  <si>
    <t>服飾デザイナーの育成に加え、ネイル・ヘアーコスメティスト、フローリスト、カメラマン、舞台芸術コーディネーター、その他デザイナーやアーティストの活動支援を通して、地域社会と繋がりることで、デザインの魅力を広く伝える事を目的とする。</t>
  </si>
  <si>
    <t>１．服飾関連デザイナーの養成　　　２．服飾に関する作品発表会、研究会等の開催_x000D_
３．海外における服飾の流行とその傾向の検討_x000D_
４．機関紙等の資料配布及びファッション産業に関する情報収集_x000D_
５．デザイナーの招聘及び派遣_x000D_
６．ファッションコンテスト等の若手人材発掘及び育成_x000D_
７．前各号に附帯関連しつつ、本会の目的を達成するために必要な事業</t>
  </si>
  <si>
    <t>2011年１０月、Ｎ１モードグランプリ第６回開催_x000D_
2012年１０月、Ｎ１モードグランプリ第７回開催_x000D_
2013年１０月、Ｎ１モードグランプリ第８回開催_x000D_
2014年１０月、N1モードグランプリ第９回開催_x000D_
2016年10月キューバ共和国大使セミナーレセプション_x000D_
2017年5月キューバ共和国　新任大使による　スペシャルセミナー</t>
  </si>
  <si>
    <t>理事長　森　樟太郎</t>
  </si>
  <si>
    <t>平成13年08月</t>
  </si>
  <si>
    <t>子どもから大人まで、ソフトテニスを愛する方、スポーツを愛する方々に対し、地域における活動の場の提供や、スポーツを通じての国際協力、その他支援のための事業並びにスポーツを通じたボランティア活動を行うことにより、スポーツの普及と振興に寄与することを目的とする。</t>
  </si>
  <si>
    <t>ソフトテニスをメインとした、大会講習会を定期的に開催しております。現在は開催している回数が少なく活動がまだまだ足りていないと考えております。今後は毎月定期的に大会、講習会、練習会を開催し、ソフトテニス、またスポーツの普及と振興を図ると共に、活動の場をより多くの方々へ提供できる環境を作れるよう努めて参ります。</t>
  </si>
  <si>
    <t>平成16年4月～札幌市立中学校において部活動の指導、_x000D_
平成20～29年小学生におけるソフトテニス北海道大会の開催、平成30年3月札幌市・石狩市において講習会を開催</t>
  </si>
  <si>
    <t>理事長　黒田　朋樹</t>
  </si>
  <si>
    <t>道産子ヒーロー“舞神 双嵐龍(ぶじんソーランドラゴン)”などのオリジナルキャラクターのキャラクターショ-を通した啓発活動、教室活動を始めとした様々な活動を通して、子ども達に、北海道に、日本に、そして世界に“北海道の文化と魅力”、“日本の伝統・和の文化の魅力”、“「誰もがヒーローになれる！一人ひとりがヒーローだ！！」という想い”などを伝え広め、地域貢献、社会貢献していくことを目的とする。</t>
  </si>
  <si>
    <t>（1）週１〜２回程度の定期的な練習。_x000D_
（2）各種お祭り・イベント、保育園・幼稚園・学校・施設などでのヒーローによるキャラクターショーを通した交通安全、防犯、防災、運動、食育、環境、国際協力入門、障がい者理解などの各種教室活動、その他の社会貢献活動。_x000D_
（3）その他、団体の目的の達成のために必要な事業。</t>
  </si>
  <si>
    <t>2015年10月_x000D_
札幌市保健福祉局がん検診受診促進ヒーローに就任、啓発活動。_x000D_
札幌市交通安全運動推進委員会、啓発ポスター3種に起用。_x000D_
札幌市消防局少年消防クラブ員募集ポスターに起用。_x000D_
2015年11月～12月_x000D_
南区民センター、清田区有明小学校などで国際協力入門教室を実施し、子ども達から集めた文房具の寄付をカンボジアの施設や孤児院に届ける_x000D_
2016年4月_x000D_
札幌市自転車押し歩き推進キャンペーンCMに起用。2016年10月～12月_x000D_
南区民センター、北海道国際協力フェスタなどで国際協力入門教室を実施し、 子ども達から集めた文房具の寄付をカンボジアの施設や孤児院,フィリピンの施設や小学校に届ける_x000D_
2017年1月_x000D_
北海道、北海道警察などの「全席締めよう！シートベルト」ポスター起用_x000D_
2017年4月_x000D_
北海道警察、春の交通安全運動に協力_x000D_
2017年9月_x000D_
北海道警察、秋の交通安全運動1日パトライト隊長に就任。_x000D_
2017年11月～2018年4月_x000D_
南区民センター、北海道国際協力フェスタ、JICA北海道、発寒小学校サタデースクールなどで国際協力入門教室を実施し、子ども達から集めた文房具をフィリピンの施設や貧困地区に届ける。_x000D_
2018年4月_x000D_
北海道警察春の交通安全運動に協力その他、年に10～20回程度、保育園・幼稚園・学校・施設などでのヒーローによる交通安全、防犯、防災、運動、食育、環境、国際協力入門、障がい者理解などの教室活動を行う。</t>
  </si>
  <si>
    <t>理事長　金城　朝子</t>
  </si>
  <si>
    <t>発達障害などで集団に馴染みにくい児童や生徒が地域で子どもらしく健やかに育つための支援を行う。また、青年期以降は社会参加の促進や就労のサポート、生産活動を提供することで、自立した豊かな地域生活を送るための支援を行うことを目的とする。</t>
  </si>
  <si>
    <t>・フリースクール（学校に行けない子ども達の活動の場）_x000D_
・学習支援教室（授業について行けない子ども達や個別指導が必要な子ども達の支援）_x000D_
・放課後活動（子ども達だけで遊ぶことが難しい子ども達の支援）_x000D_
・障害者スポーツの普及促進（バスケット、フットサル、フロアーボール等のクラブ活動）_x000D_
・交流活動（地域の催事への参加や他団体との交流を行う）_x000D_
・障害福祉サービス事業（居宅介護・移動支援・生活介護・就労支援）_x000D_
・児童福祉サービス事業（児童発達支援・放課後等デイサービス・保育所等訪問）</t>
  </si>
  <si>
    <t>平成13年4月　活動を開始_x000D_
平成15年5月　NPO法人を取得_x000D_
平成17年4月　障害福祉サービス事業を開始_x000D_
平成21年8月  感覚統合セミナーを開催（年1回）_x000D_
平成22年4月　岩見沢市北村に野菜農園（どろんこファーム）を開設_x000D_
・会報（年3回発行）、活動報告（月1回発行）_x000D_
・野外活動や各種スポーツ指導の企画・開催（バスケットボール、フットサル、スキー、フロアーボール等）</t>
  </si>
  <si>
    <t>理事長　菊地　晴海</t>
  </si>
  <si>
    <t>札幌市西区</t>
  </si>
  <si>
    <t>平成28年10月</t>
  </si>
  <si>
    <t>この法人は、高齢化社会に向けて認知症(MCI)の見守りや独居高齢者生活支援問題ほか、生活問題に悩みを持つ高齢者に対して、地域にたまり場を創り各種相談に応じた支援または有益なサービスや情報を提供することによって、高齢者の生涯安心サポートとして地域福祉に貢献すること及び障害を持つ子どもにも生活支援することを目的とする。</t>
  </si>
  <si>
    <t>加入団体:在福ネット(札幌市在宅福祉活動団体連絡会)_x000D_
・北海道ヘルスケア産業振興協議会_x000D_
・さっぽろ助け合いネットワーク　総会等の会合に出席_x000D_
☆札幌市の平成30年6月　介護保険事業計画推進委員会の市民委員に応募したが落選_x000D_
☆小規模多機能型ホーム　ウエストで平成29年4月〜有償ボランティア開始・広報担当・提供している介護サービスの標準化(業務マニュアル)の推進・ブログ制作し開設:ウエストの70才おじいちゃんブログhttps://blogs.yahoo.co.jp/westkaigo/_x000D_
☆西区山の手まちづくりセンターとの相互信頼構築_x000D_
☆西区山の手連合町内会との交信</t>
  </si>
  <si>
    <t>西区内の介護施設で有償ボランティア活動して「提供している業務マニュアルの制作支援」　　　　　　　　　　　　札幌市の地域課題解決のためのネットワーク構築事業にトライアル中_x000D_
☆企画提案事業名  元気なシニアのたまり場ネットワーク構築で介護保険制度対象外_x000D_
「高齢者向けの日常生活支援サービスの提供」をする_x000D_
サブ: 西町三町内に「みつばちの小さな喫茶店」を開店し、ICT（情報通信技術）活用で_x000D_
地域情報ネットワークを構築して　元気なシニアによる介護保険制度の対象外_x000D_
「高齢者向けの日常生活支援サービスの提供」をする_x000D_
※残念ながら、西町三町内会から連携確認書に捺印がもらえず応募出来ず</t>
  </si>
  <si>
    <t>主宰　加藤　美浩</t>
  </si>
  <si>
    <t>平成12年01月</t>
  </si>
  <si>
    <t>「音楽をまちの力に」をコンセプトに、アマチュアミュージシャンが音楽を通して「まちづくり」や「ボランティア」に参加していく仕組みづくりと、アマチュアミュージシャンの発表の場づくりを推進するとともに、参加する人たちの交流、情報発信の支援と、必要なネットワークづくりを行うことを目的とする。</t>
  </si>
  <si>
    <t>・アマチュアミュージシャンが活躍できる場の提供についての社会への働きかけ。_x000D_
・企業、団体、個人等からの委託等による音楽イベントのコーディネート等。_x000D_
・企業、市民活動団体等が行うイベント等における、音楽に関する企画等の協力、支援。_x000D_
・チャリティライブ等の自主事業。_x000D_
・ミュージシャン(プロ、アマ)の交流支援と、ネットワークの形成。_x000D_
・上記目的を達成するために必要な事業の検討・実施</t>
  </si>
  <si>
    <t>イベントサポート(出演者コーディネート)_x000D_
モエレのホワイトクリスマス(2003～)_x000D_
ミュンヘンクリスマス市(2015～)_x000D_
もいわ山ロープウェイ「森の音楽会」(2016～)_x000D_
自主事業_x000D_
1.17KOBEに"灯り"をメモリアルライブ(2000～2005)_x000D_
東日本大震災の義援金チャリティライブ(2011～2016)</t>
  </si>
  <si>
    <t>会長　神馬　伸昭</t>
  </si>
  <si>
    <t>昭和47年01月</t>
  </si>
  <si>
    <t>この会は、学童保育の父母、指導員、関係者などの連絡を密にして、学童保育の啓蒙普及・発展を積極的に図り、学童保育の内容の充実、施設の拡充、制度化の運動を推進する母体となります。</t>
  </si>
  <si>
    <t>1.学童保育のあるべき姿を研究し、制度化を求める運動を推進します。_x000D_
2.「学童保育づくり」運動の推進と協力・援助をします。_x000D_
3.例会を開催し、地域に根ざした活動を行います。_x000D_
4.ニュース、その他必要な研究・実践集・会報などを発行します。_x000D_
5.札幌市学童保育研究集会、その他必要な学習交流会などを開き、会員相互の運動・研究・実践の交流と親睦の発展につとめます。_x000D_
6.機関誌「日本の学童ほいく」や学童保育に関する書籍の販売・普及をします。_x000D_
7.全国学童保育連絡協議会、北海道学童保育連絡協議会に加盟し、両会の主催する会議・集会に参加し会員に知らせる活動を進めます。_x000D_
8.その他必要とする事業を行います。</t>
  </si>
  <si>
    <t>＊2019年度まで39回の学童保育研究集会を実施。2017年度の第38回集会から、北海道も主催者として加わり、当会・北海道学童保育連絡協議会・北海道の三者の共催で実施。_x000D_
＊2019年10月、第20回さっぽろの学童保育パネル展を地下歩行空間にて実施、学童保育の市民周知を図る。同展は第1～17回はオーロラスクエアにて、18回以降、地下歩行空間にて開催している。_x000D_
＊第19回オール札幌コマ・けん玉検定会＆第10回あそびのひろば開催。コマ・けん玉の技の検定を行うとともにいろんなあそびを遊びつくすイベントを継続実施。</t>
  </si>
  <si>
    <t>代表　三木　美智代</t>
  </si>
  <si>
    <t>平成09年03月</t>
  </si>
  <si>
    <t>・札幌市内を拠点に、広く芸術・文化、特に演劇の分野において市民活動を活性化させ、若者を中心に人づくりとその土壌づくりを目的にしている。・そのためにジャンルを問わず現代劇の現状と国内外の古典を中心にその情報の発信を目的としている。</t>
  </si>
  <si>
    <t>・札幌劇場祭（ＴＧＲ）や札幌演劇シーズンを主たる公演目標として、札幌市民に広くその活動内容を知ってもらい、その活動の場を広げている。・札幌文化芸術の活性化のために、演劇を通してその情報・発信を定期的に行っている。・そして、札幌を発信元として、国内外へその活動を広げている。</t>
  </si>
  <si>
    <t>①札幌劇場祭（ＴＧＲ）→4回　②札幌演劇シーズン→3回　③韓国公演→2回</t>
  </si>
  <si>
    <t>会長　中島　惣平</t>
  </si>
  <si>
    <t>札幌市南区真駒内桜山、円山動物園、白旗山</t>
  </si>
  <si>
    <t>昭和61年09月</t>
  </si>
  <si>
    <t>キノコに親しみ、それを通じて自然尊重の精神を養い、会員相互の親睦をはかることを目的とする。</t>
  </si>
  <si>
    <t>目的達成のため次に掲げる事業を行う。_x000D_
①野外勉強会の企画・実行_x000D_
②講演会、講習会、研修会の開催_x000D_
③キノコに関する啓蒙、理解を深めるための事業_x000D_
１キノコ展等の開催事業_x000D_
２保健所等と共同のキノコに関する各事業_x000D_
３自然保護に関する事業_x000D_
④本会支部への指導、助言_x000D_
⑤会報、事務局便り等の発行_x000D_
⑥情報の収集及び提供_x000D_
⑦会員相互の交歓会</t>
  </si>
  <si>
    <t>公開講座桜山研修会（４月から１０月）、豊平区きのこ展、南区きのこ展、白旗山inフェスタ、円山動物園キノコ展、支笏湖復興の森下草刈り</t>
  </si>
  <si>
    <t>代表理事　寺尾　惠</t>
  </si>
  <si>
    <t>平成31年01月</t>
  </si>
  <si>
    <t>平成21年02月</t>
  </si>
  <si>
    <t>主に札幌で医療を受けようとする外国人に対してよりよい医療サービスを提供し、_x000D_
また医療機関にとってよりよい環境を整えることにより、国際化を目指す社会に貢献することを_x000D_
目的とする。</t>
  </si>
  <si>
    <t>札幌および近郊に在住する外国人が医療機関を受診する際にボランティアで同行し医療通訳することにより、医療機関を適切に受診できるようサポートしています。通訳技量の維持向上のため、月に3回程度勉強会を開催しています。_x000D_
ならびに、この活動から派生した資料の作成及びホームページ公開などを通して、医療に関する情報などを発信しています。_x000D_
また札幌国際プラザと外国人対象母子保健セミナーを共催予定です。</t>
  </si>
  <si>
    <t>医療通訳グループ(2009年設立）から約10年の活動において、約4000件のボランティア通訳。_x000D_
2010年より札幌国際プラザと母子保健セミナー共催。_x000D_
赤ちゃんに必要な予防接種のための予診票、子どもの感染症罹患後に保護者が保育園に提出する登園届の日英併記版を作成し、札幌市保健所と札幌市小児科医会、札幌市乳幼児園医協議会に公的書類と認められました。</t>
  </si>
  <si>
    <t>理事長　吉中　季子</t>
  </si>
  <si>
    <t>平成27年09月</t>
  </si>
  <si>
    <t>この法人は、ホームレス状態及びそれに準ずる状態にある女性や母子家庭世帯に対して、一時的な生活のためのシェルターを提供し、自立した生活に向けた基盤づくりをサポートする。またそのような女性を生み出す社会の不平等や無理解に対して、当事者と共に声を上げ、改善することを目的とする。</t>
  </si>
  <si>
    <t>(1) 生活に困窮した女性のための相談＆サポート事業_x000D_
(2) ホームレス状態の女性および母子世帯を緊急保護する一時生活支援事業_x000D_
(3) シェルター利用者が退出後に地域とのつながりを持ちながら安定した生活を送れるように、見守りや交流を促進するアフターサポート事業_x000D_
(4) 女性の生活困窮問題および住宅政策について、当事者の声を地域や社会に広め伝え、問題の解決を目指すアドボカシー事業</t>
  </si>
  <si>
    <t>①平成27年8月～翌28年3月迄　WAM助成を受け、すすきのに女性専用の相談室（「女性と子どもの安心ルームあじーる」）を開設。他、法定外シェルターの運営、支援者・当事者含めた勉強会等を開催した。_x000D_
②平成28年4月～現在迄　札幌市生活困窮者自立支援事業の委託を受け、行き場のない女性や母子のためのシェルター（一時的な居所）を運営。2年間で234件の相談を受け、うち97件がシェルター利用。シェルター利用者以外の相談者や、シェルター卒業生についても、相談に応じて福祉事務所への同行支援等を実施している。_x000D_
③上記のほか、自主運営の常設サロン、昼食会、交流イベント、月例の当事者研究会を実施している。</t>
  </si>
  <si>
    <t>代表　西川　吉武</t>
  </si>
  <si>
    <t>平成26年05月</t>
  </si>
  <si>
    <t>札幌の芸術文化の発展に寄与するために、さまざまなジャンルの芸術・文化にかかわる市民ボランティア団体が手をつなぎ、自分たちの活動を市民に伝え、創造都市さっぽろのけん引力になるべく、設立しました。</t>
  </si>
  <si>
    <t>○アートを活用した創造都市さっぽろの事業に提言活動や支援活動をします_x000D_
○「札幌国際芸術祭」開催に向けて一丸となった支援をします_x000D_
○「札幌市民交流プラザ」の支援活動をします_x000D_
○アートボランティア活動の発信機能を高めます_x000D_
○アートボランティア各団体の事業情報を共有します_x000D_
○メディアアーツ都市さっぽろの発展に寄与します</t>
  </si>
  <si>
    <t>●2014年6月から配布_x000D_
2014版　イベントガイドの発行　8,000部 _x000D_
第1回札幌国際芸術祭宣伝をと加盟団体の紹介_x000D_
●2014年8月9日（土）_x000D_
V-net発足フォーラム　テーマ「アートボランティア・ネットワークによって広がるさっぽろ」_x000D_
●2014年10月14日 （火）_x000D_
市民が目指す「（仮称）」さっぽろアートセンター」の姿とは    ACFと協働提言_x000D_
●2015年3月17日 （火）_x000D_
「市民交流複合施設管理運営基本計画（案）」意見提起　ACFと協働提言_x000D_
●2015年6月5日（金）_x000D_
トークセッション　テーマ「市民交流複合施設（アートセンター）について語ろう　ACFと協働開催_x000D_
●2015年7月15日（水）_x000D_
市民の力を活用する「札幌文化芸術交流センター」の創造的企画・運営　 ACFと協働提言_x000D_
●2015年10月から配布 _x000D_
2015版　イベントガイドの発行　6,000部_x000D_
ティー・パ-ティー宣伝と加盟団体の紹介_x000D_
●2015年12月19日（土）_x000D_
第１回「Ｖ-ｎｅｔティ・パーティ」   テーマ「ボランティア知ろう！ボランティアを楽しもう！」_x000D_
●2016年6月_x000D_
札幌国際芸術祭（SIAF）2017「一緒につくろう芸術祭公募プロジェクト」応募→不採用	_x000D_
●2016年8月_x000D_
V-netのサイト公開_x000D_
●2016年12月3日（土）_x000D_
平田オリザ講演会と文化シンポジューム「新しい広場をつくろう～札幌市民交流プラザを市民が活用していくために」　ACFと協働開催_x000D_
●2017年6月から配布_x000D_
2017版　イベントガイドの発行　6,000部 _x000D_
ティー・パ-ティー宣伝とSIAFの紹介_x000D_
●2017年7月23日（土）_x000D_
第２回「Ｖ-ｎｅｔティ・パーティ」　テーマ「このCMが面白い！」「SIAF2017のみどころ」_x000D_
●2017年12月_x000D_
SCARTSの公募企画事業提案応募→不採用　これとは別に共催事業として2019年に実施するべく協議中_x000D_
●2018年2月3日（土）_x000D_
ACFフォーラム「札幌国際芸術祭を考える～2017から2020に向けて」においてV-netの意見交換模様を紹介_x000D_
●2018年6月から配布_x000D_
イベントガイド改め　V-net NEWS第4号の発行　12,000部_x000D_
加盟団体の紹介とイベント紹介_x000D_
●2018年10月から配布_x000D_
V-net NEWS第5号の発行　12,000部_x000D_
加盟団体の紹介とイベント紹介_x000D_
●2018年12月から配布_x000D_
V-net NEWS第5号の発行　12,000部_x000D_
加盟団体の紹介とイベント紹介</t>
  </si>
  <si>
    <t>会長　下沢　敏也</t>
  </si>
  <si>
    <t>札幌市及び北海道内全域</t>
  </si>
  <si>
    <t>昭和33年06月</t>
  </si>
  <si>
    <t>北海道における文化団体相互の連絡協調をはかり、文化振興の発展を期することを目的とする。</t>
  </si>
  <si>
    <t>文化団体相互の連絡協調と事業の推進援助を図るとともに、北海道文化集会、道民芸術祭、_x000D_
講演会・作品展、国際交流等の自主事業を開催しています。_x000D_
また、文化活動に対する顕彰、内外各文化団体との交流、会報・文化年鑑などの企画発行も_x000D_
長年継続して行っています。_x000D_
今後も、札幌市を始め道内各地域の文化活動の振興と社会貢献を目指して、より魅力的で_x000D_
多くの方々に関心を持っていただけるイベントづくりと情報発信に努めてまいります。</t>
  </si>
  <si>
    <t>令和元年7月～令和２年2月　　令和元年度道民芸術祭(全道14管内各会場）_x000D_
令和元年8月　「こども+アール・ブリュット北海道みらい作品展」_x000D_
　　　　　　9月　「北海道･中国黒龍江省国際交流美術展2019」招聘_x000D_
　　　　　　　　　　(札幌市/北翔大学北方圏学術情報センター）_x000D_
　〃　　  10月  第29回全道シルバー作品展（札幌市／かでる２・７）_x000D_
　〃　　  11月　第34回国民文化祭・にいがた2019「洋舞踊ダンスフェスティバル」派遣_x000D_
　〃　　  11月  第32回全国健康福祉祭和歌山大会ねんりんピック紀の国わかやま2019「美術展」出品_x000D_
　〃　　  11月　第61回北海道文化集会（札幌市資料館）［表彰式・基調講演・アートステージ］</t>
  </si>
  <si>
    <t>理事長　上田　文雄</t>
  </si>
  <si>
    <t>当会は北海道の声楽家育成の一環として研究及び公演活動を活発に行い、北海道における音楽芸術文化の振興と発展に寄与することを目的とし、その目的達成のためオペラ公演を主体に、会員の歌曲をはじめ声楽全般にわたる音楽技術理論に関する研究講習会、各種演奏会を開催し、会員の演奏者としての技術向上を目指しています。また、全国の各二期会との連携、音楽活動諸団体との音楽文化交流、青少年育成教育事業を行っています。特にオペラ公演を毎年開催し、多くの北海道民、札幌市民にオペラ音楽の楽しさ素晴らしさを伝え、クラシック・オペラファンの拡大発展を目指しています。</t>
  </si>
  <si>
    <t>本会の前身は、昭和39年東京二期会札幌分室として発足した。現在一般社団法人北海道二期会と改称したが、発足当時の活動内容を継続している。音楽大学及びそれに準ずる歌い手で構成し、オペラ公演を中心に、日本及び外国歌曲の演奏会や研究会を毎年行っている。音楽大学を卒業した歌手の活躍の場を提供することが一義的な活動内容で、それは北海道や札幌文化向上に繋がっております。_x000D_
年間活動：オペラ本公演1回、訪問（小学校・中学校等）公演1～2回_x000D_
歌曲の演奏会2～3回（ゴールデンコンサート、サロンコンサート）_x000D_
研究会（歌曲の公開レッスン、オペラの演技研究など）</t>
  </si>
  <si>
    <t>平成28年度以前省略_x000D_
平成29年度5月：演技講習会、8月：ドイツ歌曲講習会、9月：ゴールデンコンサート、10月：サロンコンサート、11月：オペラ「不思議の国のアリス」、3月：オペラ「ヘンゼルとグレーテル」_x000D_
平成30年度4月：オペラ合唱ワークショップ（～10月）、8月：北海道二期会コンサート、10月：オペラ「ヘンゼルとグレーテル」、11月：ゴールデンコンサート、3月：オペラ「椿姫」、堀内康雄による「イタリアオペラ研究会」、その他：短大・千歳でオペラ「ヘンゼルとグレーテル」</t>
  </si>
  <si>
    <t>代表　高野　克也</t>
  </si>
  <si>
    <t>札幌市内、札幌近郊</t>
  </si>
  <si>
    <t>子どもから大人まで幅広い層を対象に、自然活動、環境教育、野外教育等のプログラムの企画、運営など環境学習に関する事業を行ない、人と自然、そして人と人との豊かな出会いをつくり、持続可能な地球社会の推進に寄与することを目的とする</t>
  </si>
  <si>
    <t>①	環境・自然に関わる学習プログラムの情報の収集と提供_x000D_
②	子どもや大人、および高齢者、障害者への野外自然活動の実施提供_x000D_
③	これらに関わる人材の育成_x000D_
④	これらに関わる団体、個人の相互の情報交換や活動の支援_x000D_
⑤	その他、目的を達成するために必要な事業</t>
  </si>
  <si>
    <t>イエティくらぶの実施_x000D_
子どもの放課後自然体験活動_x000D_
企業CSR活動のサポート（アサヒビール、三井物産、ツルハドラッグなど）_x000D_
自然体験活動、木育活動の企画提案・実施（公園管理者、学校、幼稚園など）</t>
  </si>
  <si>
    <t>代表理事　鳥井　孝将</t>
  </si>
  <si>
    <t>札幌市西区西町南９丁目２－２　西町会館</t>
  </si>
  <si>
    <t>平成28年12月</t>
  </si>
  <si>
    <t>地域の子どもに対して、子どもの貧困対策及び居場所づくりに関する事業を行い、子どもの健全な発達・育成に寄与することを目的とする。</t>
  </si>
  <si>
    <t>・毎月第２金曜日（利用施設休館日は翌週第３金曜日）に子ども食堂の開催_x000D_
・夏休み、冬休み期間に子どものあかはな体験教室の開催</t>
  </si>
  <si>
    <t>・平成２８年４月より立ち上げスタッフが月に１度集まり立ち上げの会議を開催_x000D_
・平成２８年１２月　第１回子ども食堂を開催。以後、月に一度（基本第２金曜日）に開催。平成３０年１２月で２周年を迎え、平成３１年１月現在、子ども食堂の開催は２６回をかぞえる。_x000D_
・平成２９年７月　第１回あかはな体験教室を開催。夏休み、冬休みの他、必要に応じて開催</t>
  </si>
  <si>
    <t>代表　坂本　千春</t>
  </si>
  <si>
    <t>北海道、札幌市</t>
  </si>
  <si>
    <t>平成27年12月</t>
  </si>
  <si>
    <t>フィンランドの子育て支援施設「ネウボラ」について、また、日本全国で展開される「日本版ネウボラ」のモデル事業について、研究者・福祉・医療・教育関係者が広く参画して学び、北海道及び札幌での「ネウボラ」の在り方を考える研究会です。道民へ情報を提供する事や若い子育て世帯の意見要望を募るための啓もう活動も行う事を目的とします。</t>
  </si>
  <si>
    <t>主な活動内容：北海道ネウボラシンポジウム、北海道ネウボラ研究会の開催、さっぽろ女子ネウボラミーティングの開催、ネウボラ相談室モイ・ルーム開催（北海道立女性プラザ協力事業）、赤ちゃんひろばMamMamステーションの開催、児童館子育てサロン企画協力、子育てイベント主催等。</t>
  </si>
  <si>
    <t>北海道ネウボラシンポジウム開催（２０１７．７．８）、北海道ネウボラ研究会の開催（２０１６．３～２０１８．１２：５回）、さっぽろ女子ネウボラミーティングの開催（２０１６．３～２０１７．５：６回）、ネウボラ相談室モイ・ルーム開催（２０１６．１０～毎週第4水曜日：北海道立女性プラザ協力事業）、児童館子育てサロン企画協力（２０１６．１１～月１回：あいの里児童館）、赤ちゃんとママのひろばネウボラ_x000D_
★MamMamステーション（あいの里助産院・麻生キッチンりあん・江別市野幌各月１回）、子育てイベント主催（２０１７．７ウェルカムベビーフェスティバル）、子育てイベント・学会等出展（ひろば、パネル、相談室）、令和元年度北海道未来輝く子育て応援大賞受賞、令和２年マニフェスト大賞北海道エリア選抜認定。</t>
  </si>
  <si>
    <t>連盟長　三田　肇子</t>
  </si>
  <si>
    <t>札幌市及び道内の各団の所在地</t>
  </si>
  <si>
    <t>昭和39年04月</t>
  </si>
  <si>
    <t>少女と若い女性が自分自身と他の人々の幸福と平和のために責任ある市民として、自ら考え、行動できる人となれるようにする。</t>
  </si>
  <si>
    <t>ガールガイド・ガールスカウト世界連盟の一員として、ガールスカウト運動を普及する。この運動を通じて、少女と若い女性が自分自身と他の人々の幸福と平和のために、責任ある市民として自ら考え、行動できる人となれるよう育成し、女性が自らの可能性を最大限に延ばし、発揮できる社会の形成を推進する事業を実施しています。_x000D_
◆　少女の心身発達に資する教育プログラムの策定と実施_x000D_
◆　指導者の育成_x000D_
◆　ガールスカウト運動を通じて、豊かな人間性を涵養し、よりよい社会の形成に資する事業_x000D_
◆　国際相互理解の促進及び国際協力業_x000D_
◆　地球環境の保全及び自然環境の保護とその教育</t>
  </si>
  <si>
    <t>◆ 絵本の読み聞かせ　・・　あつまれ！えほんの世界_x000D_
◆ 防災教育　・・　花でつなぐ防災プロジェクト～東日本大震災から学ぶ_x000D_
◆ 成人のための研修会　_x000D_
◆ 北海道連盟キャンプ_x000D_
◆ ジュニア交流会_x000D_
◆ シニア・レンジャー交流会_x000D_
◆ 日本女性会議奉仕活動</t>
  </si>
  <si>
    <t>代表　野澤　美香</t>
  </si>
  <si>
    <t>平成28年06月</t>
  </si>
  <si>
    <t>「こどもに優しいまちづくり」を目指して、様々な地域課題をこども達と共に解決することを目的とする。</t>
  </si>
  <si>
    <t>こども・学校・地域を繋げる為の防災啓発イベント、地域交流の為のこども食堂を開催しています。</t>
  </si>
  <si>
    <t>平成28年11月防災啓発のための「防災便り」発行_x000D_
平成29年9月「2018・防災フェスin新光小学校」児童・地域向け体育館宿泊型避難所訓練_x000D_
平成30年8月「こども食堂」毎月開催_x000D_
平成30年10月札幌市地域課題解決のためのネットワーク構築事業から補助金を得て交流イベント開催_x000D_
令和2年1月「2020・防災フェスin光陽小学校」体育館宿泊型避難所訓練「防災運動会in光陽小学校」体育館開催、児童による企画・運営</t>
  </si>
  <si>
    <t>理事長　五十嵐　いおり</t>
  </si>
  <si>
    <t>平成30年03月</t>
  </si>
  <si>
    <t>平成29年12月</t>
  </si>
  <si>
    <t>この法人は、広く一般市民を対象として、朗読を中心とする音声表現芸術の可能性を模索・研究し、表現活動の場や技術向上の機会を提供することで、音声表現芸術に対する理解を深め、美しい日本語と新しい文化の創造・発展に貢献する。併せて札幌市内の市民活動活性化に資することを目的とする。</t>
  </si>
  <si>
    <t>（1）社会教育の推進を図る活動_x000D_
（2）学術、文化、芸術又はスポーツの振興を図る活動_x000D_
（3）子どもの健全育成を図る活動_x000D_
（4）情報化社会の発展を図る活動_x000D_
（5）前各号に掲げる活動を行う団体の運営又は活動に関する連絡、助言又は援助の活動</t>
  </si>
  <si>
    <t>平成29年12月　（任意団体活動）朗読指導育成講習会①　朗読講習　北区　法人予定事務所にて_x000D_
平成30年1月　（任意団体活動）朗読指導育成講習会②　絵本読み聞かせ講習会　北区　法人予定事務所にて_x000D_
平成30年2月　（任意団体活動）朗読発表会、絵本読み聞かせ会　模範朗読研究のため　中央区「ダニーズレストラン」_x000D_
平成30年3月　法人登記（3月6日）　設立時　理事9人、社員26人、会員80人、顧問5人　札幌法務局_x000D_
平成30年4月　法人設立総会並びに懇親会　出席会員50人　ホテルライフォート札幌_x000D_
平成30年6月　朗読と音楽と懇親の会　出席者31人　札幌果実倶楽部_x000D_
平成30年6月　朗読劇にれに木ものがたりワークショップ①②③　参加者　親子30人、大人20人、運営スタッフ23人　札幌中央区民センター_x000D_
平成30年7月　朗読劇にれに木ものがたりワークショップ④⑤⑥　参加者　親子30人、大人20人、運営スタッフ23人　札幌中央区民センター_x000D_
平成30年7月　朗読会　心で紡ぐ辻文学（作品ユリアヌス）　来場者100人（皇太子殿下来席）　東京・学習院大学_x000D_
平成30年8月　朗読劇にれに木ものがたりワークショップ⑦⑧　参加者　親子30人、大人20人、運営スタッフ23人　札幌中央区民センター_x000D_
平成30年8月　「朗読劇「にれの木ものがたり」公演　入場者200人、運営スタッフ50人　道庁赤れんが庁舎_x000D_
平成30年10月　絵本セラピー事業　受講者24人、運営スタッフ6人　札幌市中央区「俊カフェ」_x000D_
平成30年11月　朗読技術向上講習会「リテラチュール」①②③④　受講生9人、運営スタッフ7人　札幌エルプラザ_x000D_
平成30年12月　朗読技術向上講習会「リテラチュール」発表会　観客23人、受講生9人、運営スタッフ8人　ホテルライフォート札幌_x000D_
平成31年2月　講習会「日本文学と禅の心」講師　西村恵信　観客224人、運営スタッフ16人　札幌エルプラザ_x000D_
平成31年3月　（予定事業）朗読会「オープンマイクイベント」　（未定）　ラウンジ　ヴァローレ</t>
  </si>
  <si>
    <t>代表　落合　祐司</t>
  </si>
  <si>
    <t>札幌市内・近郊</t>
  </si>
  <si>
    <t>平成18年06月</t>
  </si>
  <si>
    <t>健康スポーツを志向する市民の集まりを目的とし、スポーツチャンバラを通じて、健康の維持増進、相互の親睦を図ると共に、生涯スポーツとして社会に貢献する有意な人材を育成する事をもって、明るい社会の進展に寄与する事を目的として活動する。</t>
  </si>
  <si>
    <t>市内・道内各所で体験会を開催するなど、当たれば勝ちというシンプルなルールのスポーツチャンバラの普及に努め、子どもから大人まで自由に健康的に楽しめる居場所を提供しています。スポーツチャンバラに取り組む事で『安全・公平・自由』 の精神を成長させるとともに、青少年の健全育成・地域貢献に尽力しています。_x000D_
月に約２０回開催している、７教室では、一人一人、向き合い、大心を育む目標へのサポート等、惜しまずに支えています。国体選手やアジア大会等、世界レベルの選手も輩出しており、子ども達に夢を抱いて取り組んで貰える様に努めています。地域貢献・社会体験に繋がる、年に約40回以上の体験会や大会開催を行っております。厳しい稽古はせず、楽しみながら技術が身に付く様、これからも活動の幅を広げて参ります。</t>
  </si>
  <si>
    <t>全７教室の教室を運営、月に約２０回展開しています。特に、２０１８年９月に被災した地区の体験会活動では、子ども達の笑顔が増える様に尽力しています。平成３０年度は大会遠征にも力を入れており、全国、世界への大会実績を積む事ができました。年々、スポーツチャンバラを始める子どもや関心をもつ方々が増加しており、予定等の情報発信に意識を持ち、安心してスポーツチャンバラを始める事が出来る様、PCや携帯でも見れるホームページを公開しました。長年の活動が実り、H30年度札幌市優良育成団体表彰を授賞。_x000D_
新聞、ラジオ、広報紙、地域フリーペーパー等、取材が増えた事もあり、当団体の活動に手応えを感じています。</t>
  </si>
  <si>
    <t>会長　大野　孝</t>
  </si>
  <si>
    <t>昭和59年03月</t>
  </si>
  <si>
    <t>認知症の人を介護する家族などとの交流を通して、認知症の理解を深め、その家族への援助と福祉の向上を図ることを目的とする。</t>
  </si>
  <si>
    <t>家族の会では「つどい」や「会報」（なごみ）、「相談」などの活動を通して認知症の方ご家族の方が情報収集、情報交換ができる機会を設けている。①つどい（毎月開催。介護の悩みを語りあい交流することで、、困ったことを相談・解決出来たり、ストレスを発散することができる。）②会報の発行。③日常相談・電話相談。④研修会の開催。⑤その他、目的達成に必要な活動。</t>
  </si>
  <si>
    <t>・昭和58年「会報」創刊号発行。・昭和61年「電話相談」開始　・平成26年、結成30周年「記念誌」　　「私の手帳」発行。　・平成27年、日本認知症ケア学会自主企画で発表。　・「認知症の人を正しく理解する研修会」（平成29年より札幌市と共催）　・令和2年、「札幌市ぬくもり・すこやか表彰」受賞</t>
  </si>
  <si>
    <t>理事長　清水　治彦</t>
  </si>
  <si>
    <t>豊平区近郊</t>
  </si>
  <si>
    <t>平成16年09月</t>
  </si>
  <si>
    <t>NPO法人つなぐは、多様な個性を持った人々が集まって知恵と熱意を持ち寄り、子どもからお年寄りまで、障がいのあるなしにかかわらず地域生活及び社会参加が豊かになり、すべての人々が自然にとけあって生活できる地域創造のために積極的かつ専門的な支援活動を行い、地域福祉・子どもの健全育成・まちづくりの推進に寄与することを目的としています。</t>
  </si>
  <si>
    <t>「障害者の日常生活及び社会生活を総合的に支援するための法律」による福祉サービス事業所「東月寒サポートセンターふらっと」での支援のほか、「道路運送法80条」に基づき福祉車輛等を利用した福祉有償運送、私的サービスなどで障がいのある方やご家族への地域で暮らす支援を行っています。また地域の青少年が気軽に集える「たまり場ふらっと」の運営。地域のボランティアによる、地域福祉を進めるための交流企画として、「豊年もちつき祭り」（毎年）や「たいむハート企画」（年４～５回）を開催し、地域の人々がつながる場と時間づくりにも取り組んでいます。2017年9月からは子どもから大人までホッとできる居場所であり、地域交流を図るとともに、困難を抱えている親子がいたらさぽーとにつなげ、誰もが豊かに生活できる地域創造につなげるため、「地域食堂かば亭」を開催しています。また、地域のだれもが集える常設の「お茶の間なんもさ～だいじょうぶ～」を開き、地域の交流の場を提供しております。</t>
  </si>
  <si>
    <t>平成16年9月　法人格取得、10月指定居宅支援事業所「東月寒サポートセンターふらっと」開所、平成24年10月法人名を「NPO法人つなぐ」と改名。平成22年度さぽーとほっと基金に団体登録、平成22・24・26年度のさぽーとほっと基金より助成頂く。地域福祉を進めるための交流事業として、「もちつき祭り」は平成23年より年１回、「たいむハート企画」は平成16年より年５～８回、「地域食堂かば亭」は平成29年9月より月１回、「お茶の間なんもさ～だいじょうぶ～」は平成26年4月より平日月曜から金曜日まで開いております。いずれも、法人理念の実現の為に活動しております。</t>
  </si>
  <si>
    <t>代表理事　髙橋　銀司</t>
  </si>
  <si>
    <t>札幌エルプラザ　札幌市市民活動サポートセンター　福祉システム北海道　事務所</t>
  </si>
  <si>
    <t>平成30年01月</t>
  </si>
  <si>
    <t>平成30年04月</t>
  </si>
  <si>
    <t>昨今の福祉業界の課題として、福祉事業者が継続的に業務を行うことが困難になり、不本意ながら職を離れなければならないという現状がある。原因として、福祉事業者の身体的・精神的・経済的な窮状があげられる。そこで、福祉事業者を対象として、ネットワークを構築し、相談・助言・指導や経済的サポート事業を行うことで、福祉事業者の就労継続支援を図り、広く公益に寄与することを目的としている。</t>
  </si>
  <si>
    <t>・各福祉事業所が垣根を越え、互いに人的・技術的な交流ができるよう、ネットワークを構築_x000D_
・各業界の専門家の方々を招き、技術を学ぶことにより、福祉の現場で役立てられるようサポート_x000D_
・介護福祉士として働く新卒者が、継続して働けるようにするための奨励事業_x000D_
・調査研究、奨励事業説明時に進路担当者に対しての情報収集及び提供</t>
  </si>
  <si>
    <t>【就労継続サポート事業】_x000D_
平成30年8月　背骨コンディショニングから見た生活支援技術研修を開催_x000D_
平成30年12月　社会保障と介護保険制度について国家試験対策講座を実施_x000D_
平成31年3月　アナウンサーが大切にしているコミュニケーション技術を開催_x000D_
令和元年5月　腰痛予防講座　背骨コンディショニング・ストレッチ講座_x000D_
令和元年9月　美容師から学ぶシャンプー講座を開催_x000D_
令和元年11月　歯科衛生士から学ぶ口腔ケア講座を開催</t>
  </si>
  <si>
    <t>代表理事　今井　真由美</t>
  </si>
  <si>
    <t>札幌市近郊</t>
  </si>
  <si>
    <t>平成29年07月</t>
  </si>
  <si>
    <t>家庭での動物愛護に関する意識高揚、適正飼育及び終末飼養に関する知識の普及、動物販売業者による適正販売の確立を中心として、動物愛護のための法的な支援事業を行い、飼主や販売業者の自己都合による安易な飼育放棄さらには殺処分を減らし、もって人間と動物が安心して共生できる社会の構築に寄与することを目的とする。</t>
  </si>
  <si>
    <t>北海道には、動物法務を視点にした団体が存在しないことから、愛玩動物の飼育放棄、ペットを飼いたいけど足踏みしている方へのサポートに関与する活動を行っております。具体的な活動内容として、セミナー、交流会、イベントなどを開催し、人の都合で行われてしまう動物の殺処分数を減少させることを目指します。</t>
  </si>
  <si>
    <t>平成29年９月：CANnet様キャンパス札幌_x000D_
　　　　　　　　　「動物とともに最後まで生きるにはⅢ」にて「ペット信託®」講師を務める_x000D_
平成29年12月：札幌市主催「マチなか×NPO」に参加_x000D_
平成30年２月・６月：札幌商工会議所ラジオ番組「聞いて知って！元気企業応援隊！」出演_x000D_
平成30年６月・７月・９月：終末飼養に着目した「HALAWセミナー」開催_x000D_
平成30年10月11月：動物愛好家交流会「HALAW　café」千歳・札幌開催_x000D_
平成30年11月：太平洋興発様イベント「高齢者のマンションライフに向けて」に出店</t>
  </si>
  <si>
    <t>理事長　長谷川　豊</t>
  </si>
  <si>
    <t>農業を担う起業家等の人材育成事業を進めることにより、社会教育の推進、循環型の農業の振興による環境保全、地域の伝統産業の振興によるまちづくり、雇用機会の拡充を支援する活動、高齢社、障害者の就業を支援する活動、子どもの健全育成等に寄与することを目的とする。</t>
  </si>
  <si>
    <t>農業体験をとおして、子供たちには、食の大切さ・命の尊さ、若者には汗を流して働くことの必要性、成人・高齢者には農と食・環境・健康について学んでもらう。また、世代間の交流も行っています。また、農業の環境保全と安全・安心、美味しい食べものの意識高揚のために生産者と消費者の交流の場を設けています。</t>
  </si>
  <si>
    <t>平成17年4月から　道内の農業・関連加工者による出前産直　平成18年4月から　全国の高校生対象農業体験「サマーアグリキャンプ」　平成20年から　モンゴル国農業体験研修生受け入れ　平成25年から　市内小学生野菜体験教室　平成25年　北海道社会貢献賞　平成27年から　みすまい児童館農業体験学習春・夏・冬の３回、令和１年から地域保育園サツマイモ栽培活動</t>
  </si>
  <si>
    <t>代表　川瀬　亜矢子</t>
  </si>
  <si>
    <t>札幌市男女共同参画センター</t>
  </si>
  <si>
    <t>だれもが大切にされる社会の構成をめざして、人権啓発と暴力未然防止を進める教育及び啓蒙活動を展開する。</t>
  </si>
  <si>
    <t>ジェンダー対等性の視座から「暴力を選ばない、暴力を選ばせない」意識と環境づくりに重点をおき、幼児から大人まで幅広い層を対象に、各種講座を提供している。多様性の包摂を大事にし、性の多様性（SOGI）を全ての講座で言及している。主な提供講座は１）デートDV防止教育講座　２）性の健康教育「からだの科学」　３）こころのケア講座　４）心と体のコミュニケーションワーク　このほか、これまで大学生らとマイノリティーについて考えるイベント、子育て世代に対等で尊重ある関係を伝える情報も盛り込んだコンサートの実施等、随時イベントも開催している。</t>
  </si>
  <si>
    <t>設立当初からの「からだの科学」は、15年にわたって毎年講座を提供してきた。2008年から実施している「デートDV防止教育講座」は、中学生から大学生及び一般を対象に毎年12～14校で実施し、2008年から帯広市、2015年からは札幌市の講師派遣団体になっている。2017年には、札幌市「LGBTフレンドリー指標制度」認証団体となった。「こころのケア講座」は2012年に開始、以来、毎月１回（8月を除く）講座を提供している。</t>
  </si>
  <si>
    <t>会長　金子　桂子</t>
  </si>
  <si>
    <t>北海道立総合体育センター　北海きたえーる</t>
  </si>
  <si>
    <t>平成19年12月</t>
  </si>
  <si>
    <t>チャレンジドチア北海道は北海道コンサドーレ札幌の「コンサドールズ」、エスポラーダ北海道のホームアリーナチア「きた☆キッズチアダンススクール」の子供たちと障がいを持つ子供たちがひとつのチアチームを作り、チアを通してスポーツを応援する心を育て、協力することの喜びを感じ取り、そして発表することで地域とのつながりをより強くすることを目的としています。特に、パラスポーツへの応援演技に力を入れています。</t>
  </si>
  <si>
    <t>これまで長年にわたり活動している、コンサドーレの福祉施設訪問「サンタ隊」で行っていた訪問ボランティア活動の延長活動として、障がいを持つ子供たちの運動機能の促進、応援することの喜び、チアの楽しさを伝えることを行ってくセクションが立ち上がり、ひとつのチームを作り上げたいと_x000D_
考えています。人前で発表が出来るまでのプロセスを経験しながら、参加者全員が心と身体の成長を促す場として、このパラチアを構築していきたいと考えています。</t>
  </si>
  <si>
    <t>☆　エスポラーダ北海道ホームゲームにて出演　（2019　8月）_x000D_
☆　北海道特別支援学校フットサル大会　開会式出演（2019　8月）_x000D_
☆　ブラインドサッカー北日本リーグ戦　ハーフタイム出演　（2019　9月）_x000D_
☆　USAリージョナルズ北海道大会　招待演技披露　（2019　12月）_x000D_
２０２０年２月開催予定でした、「スペシャルオリンピックス日本冬季ナショナルゲーム」開会式に出演予定でしたが、新型コロナウイルス感染拡大防止により中止となりました。</t>
  </si>
  <si>
    <t>代表理事　平井　照枝</t>
  </si>
  <si>
    <t>札幌エルプラザ公共施設</t>
  </si>
  <si>
    <t>平成20年07月</t>
  </si>
  <si>
    <t>平成20年10月</t>
  </si>
  <si>
    <t>シングルマザーの母と子が、いきいきと暮らせるよう、安心して話せる場と必要な情報を得ることができる場が必要であり、偏見や差別をなくし、多様な人々を認め合う社会を目指すことを目的に設立しました。</t>
  </si>
  <si>
    <t>孤立しがちなシングルマザーの交流の場、必要な支援制度など情報提供を目的にしたピアサポートの_x000D_
場である「聴きあう会」、子育と仕事の両立、教育費などのシングルマザー向け「応援セミナー」、_x000D_
また身近な支援者を地域に増やし、支援者同士が繋がりネットワークを組むための「ひとり親家庭_x000D_
サポーター養成講座」を開催。また、札幌市内で活動する団体と連携し、子どもの学習支援、ＤＶを受けた_x000D_
方のケア講座、スキルアップのためのオンライン講座、金融リテラシー講座や親子で楽しめるイベントなど、だれもが安心して暮らせる共生社会づくりのための活動を続けています。</t>
  </si>
  <si>
    <t>2008年～不定期での「聴きあう会」を開催、現在は奇数月の第３日曜日に定期開催_x000D_
2009年～毎年、シングルマザー応援セミナーを開催_x000D_
2014年～支援者向け講座「ひとり親家庭サポーター養成講座」を開催　2015年2016年は厚生労働省_x000D_
ひとり親家庭等自立促進基盤事業補助事業として開催_x000D_
エルプラザにてひとり親世帯等の子どもの学習支援をNPO法人kacotamと共催_x000D_
2015年～振袖思い出つくり_x000D_
2016年～おてらおやつクラブからの食品を会員に宅配　食料支援事業_x000D_
2019年～シングルマザーエンパワメントトレーニングセミナー_x000D_
2020年～新入学お祝い事業_x000D_
2020年2月～2022年9月までのコロナ禍食料支援は、延べ４,１４５世帯 １０,４９６名_x000D_
　その他、メール、電話、面談の無料相談</t>
  </si>
  <si>
    <t>会長　石井　光郎</t>
  </si>
  <si>
    <t>西区八軒中央地区</t>
  </si>
  <si>
    <t>平成元年04月</t>
  </si>
  <si>
    <t>地域内の町内会及び自治会の連絡調整と健全な発展育成を図り、関係諸団体と協力・協調のもと地域住民の親睦と福祉の増進及び文化の向上に寄与する。</t>
  </si>
  <si>
    <t>・女性活動の推進と親睦に関すること、健康管理普及に関すること_x000D_
・火災の予防及び災害、犯罪等の防止普及に関すること_x000D_
・交通事故防止の街頭活動に関すること_x000D_
・青少年の健全育成に関すること、子ども会の育成支援に関すること、健康増進及び親睦を図るスポーツ大会等の企画実践に関すること_x000D_
・環境衛生の改善向上及び美化事業の普及推進に関すること_x000D_
・社会福祉の研修及び普及に関すること、敬老会及び高齢者の親睦交流に関すること</t>
  </si>
  <si>
    <t>４月　交通安全街頭啓発_x000D_
５月　夜間巡視パトロール（～10月）_x000D_
　　　 琴似発寒川一斉清掃_x000D_
７月　交通安全街頭啓発、八軒中央納涼まつり_x000D_
８月　スポーツチャンバラ_x000D_
９月　敬老の日事業_x000D_
10月　交通安全総決起大会、防火パトロール_x000D_
11月　八軒中央文化祭_x000D_
１月　アイスキャンドル_x000D_
２月　室内運動会</t>
  </si>
  <si>
    <t>指導者　郷　健志</t>
  </si>
  <si>
    <t>昭和44年04月</t>
  </si>
  <si>
    <t>金管楽器演奏を通して地域に根ざした音楽活動を行う。</t>
  </si>
  <si>
    <t>地域のイベントや音楽会での演奏_x000D_
札幌市内の老人保健施設などへの訪問演奏_x000D_
全日本吹奏楽コンクール、スクールバンドフェスティバルへの参加</t>
  </si>
  <si>
    <t>平成31年／令和元年_x000D_
5月八軒中央連合町内会創立30周年式典_x000D_
7月納涼祭り_x000D_
8月吹奏楽コンクール_x000D_
9月琴似神社秋祭り・西区音楽会・ライフドリーム藤美訪問演奏_x000D_
10月はちけん交通安全総決起大会・はちけんみんなの音楽会_x000D_
_x000D_
令和２年_x000D_
2月定期演奏会・札幌ジュニアジャズスクールFinal Live_x000D_
他</t>
  </si>
  <si>
    <t>代表　村場　踊</t>
  </si>
  <si>
    <t>札幌市内・大船渡市</t>
  </si>
  <si>
    <t>平成23年07月</t>
  </si>
  <si>
    <t>新芸能集団「乱拍子」が2011年5月に義援金をもって大船渡市にボランティア公演に行き、想像を超える被害に対して、多くの人と一緒に応援したいと考え、他団体に呼びかけ設立した。</t>
  </si>
  <si>
    <t>文化で応援活動をしたいと考え、毎年ボランティア公演を大船渡市で行っている。また札幌市内では、震災後をテーマに「忘れてはならないこと」として演劇にし、伝えていく活動をしている。その中で、大船渡市にある岩手県無形文化財「門中組寅舞」との出会いは、ワークショップをして頂くなど、札幌で活動している芸能団体にとって大きな影響をもたらした。</t>
  </si>
  <si>
    <t>東日本大震災復興支援「子どもを守ろうよ」の会公演：2011年11月3日・2012年10月28日・2013年1月6日、10月20日、201５年3月29日、2016年2月28日・2017年3月・10月14日、2018年3月4日、2019年４月20日・21日、2021年３月10日11日_x000D_
大船渡ボランティア公演：2012年1月・6月・12月（極め組単独）、2013年5月8日（極め組単独」・10月20日、2014年3月14日～16日、2015年9月25～30日、2016年10月15～17日、2017年2月2日～6日８岩手無形文化財「門中組寅舞」を習い始める、2019年3月15日～19日。＊2016年・2017年・2018年はゲストに大船渡から参加</t>
  </si>
  <si>
    <t>理事長　片岡　有喜子</t>
  </si>
  <si>
    <t>平成30年07月</t>
  </si>
  <si>
    <t>平成30年06月</t>
  </si>
  <si>
    <t>まだ食べられるにもかかわらず廃棄されてしまう食品を譲り受け、各社会福祉施設やひとり親世帯、こども食堂、困窮世帯へと渡す活動により、食品ロスの削減と食のセーフティネットの構築を図っている。</t>
  </si>
  <si>
    <t>寄付をいただく協賛企業、食品の提供をいただく協力企業からの食品などを、受け取りを希望する連携団体へ届けています。</t>
  </si>
  <si>
    <t>定期的に受け取りを希望する団体へ食品等を届ける。_x000D_
フードドライブイベントの開催。_x000D_
災害時に避難所において炊きだしの活動。_x000D_
０円マーケットの開催</t>
  </si>
  <si>
    <t>会長　岡本　諒</t>
  </si>
  <si>
    <t>清田区北野地区</t>
  </si>
  <si>
    <t>昭和58年03月</t>
  </si>
  <si>
    <t>町内会相互の連携を密にし、相協力して地域住民の福祉増進と連帯意識の高揚に努め、もって地域の発展と明るい住みよいまちづくりに資することを目的とする。</t>
  </si>
  <si>
    <t>（１）町内会相互の親睦交流に関すること_x000D_
（２）町内会に共通する案件の調査研究に関すること_x000D_
（３）町内会相互並びに関係機関及び団体との連絡調整に関すること_x000D_
（４）その他本会の目的達成に必要な事業</t>
  </si>
  <si>
    <t>・吉田川草刈り清掃_x000D_
・厚別川ヤマメ稚魚放流_x000D_
・北野ふれあい夏まつり_x000D_
・交通安全街頭啓発_x000D_
・北野地区青少年音楽のひろば_x000D_
・北野地区防災訓練_x000D_
・北野福祉まつり　　　など</t>
  </si>
  <si>
    <t>理事長　蒲原　史起</t>
  </si>
  <si>
    <t>札幌市内（主に西区、白石区、豊平区）</t>
  </si>
  <si>
    <t>平成30年10月</t>
  </si>
  <si>
    <t>この法人は、主に高齢者を対象に、住み慣れた地域でいつまでも自立した生活を送れるよう、健康づくり、生きがいづくりに関する情報提供及び啓蒙活動を行うとともに、世代を超えて、地域の方々誰もが集うことのできるコミュニティを創造することにより、超高齢化社会が抱える諸問題の改善に寄与することを目的とする。</t>
  </si>
  <si>
    <t>①健康づくり、生きがいづくりに関する情報提供及び啓蒙活動_x000D_
②地域との連携を図り、地域コミュニティを創造する事業_x000D_
③地域コミュニティ創造につながる人材育成事業_x000D_
④健康マージャン普及事業_x000D_
⑤文化、芸術、音楽等、地域交流振興事業_x000D_
⑥その他この法人の目的達成のために必要な事業_x000D_
※令和１年10月末日現在、主な活動は、健康マージャン普及事業となっています。</t>
  </si>
  <si>
    <t>令和１年10月末日現在、開催した初心者健康マージャン講座及び現在、主催運営及び運営支援を行う、健康マージャンサークルは下記のとおりです。_x000D_
【初心者健康マージャン講座】_x000D_
月寒公民館主催講座（令和１年５月～７月）/白石老人福祉センター主催講座（平成31年４月～令和２年３月）/西町会館「みんなの講座」（令和１年10月～12月）_x000D_
【主催運営】_x000D_
①西区：西町会館健康マージャンサークル_x000D_
②西区：山の手会館健康マージャンサークル_x000D_
③白石区：東白石会館健康マージャンサークル_x000D_
④白石区：本郷会館健康マージャンサークル_x000D_
⑤豊平区：月寒公民館健康マージャンサークル　他３会場_x000D_
【運営支援】_x000D_
①石狩公民館サークル_x000D_
※その他事業・・・令和１年10月に、「食べて・歌って健康増進！～月寒公民館～」という「フレイル（虚弱）予防セミナー」のイベントを開催いたしました。</t>
  </si>
  <si>
    <t>理事長　加納　尚明</t>
  </si>
  <si>
    <t>札幌市北区北７条西６丁目１　北苑ビル２階</t>
  </si>
  <si>
    <t>平成12年05月</t>
  </si>
  <si>
    <t>障害をもつ人に対して、パソコンを利用した各種ソフトウェア及びハードウェアなどの技術習得の援助や障害をもつ人の社会参加や就労などに関する各種情報提供を行うとともに、企業や行政などと連携し、障害をもつ人の社会参加機会や就業機会の拡大を実現し、もって福祉の増進、社会教育の推進に寄与することを目的とする。</t>
  </si>
  <si>
    <t>障害者の就労支援、就職支援、パソコン講習_x000D_
行政からの受託事業、日常生活用具事業　等</t>
  </si>
  <si>
    <t>就労継続支援A型サービス事業（定員30名）、就労移行支援サービス事業（定員10名）、就労定着支援サービス事業、放課後等デイサービス事業（定員10名）_x000D_
札幌市障がい者ＩＴサポートセンター</t>
  </si>
  <si>
    <t>代表　岸　春江</t>
  </si>
  <si>
    <t>札幌市内他、北海道内各地</t>
  </si>
  <si>
    <t>平成27年07月</t>
  </si>
  <si>
    <t>子どもたちの健全な育成のため、ちいさなうちから親子のコミュニケーションが大切だと考えていました。しかし急速なデジタル化に伴い、スマホ時代に突入するとその時間が奪われ、絵本の読み聞かせをする時間が失われると同時に、絵本をどう読んだら分からないという保護者も増えてきました。そこで、アナウンサーの岸が絵本の魅力を語り、親子でたくさん笑って楽しさを知って頂く活動から開始しました。</t>
  </si>
  <si>
    <t>フリーアナウンサー岸春江を中心に子どもたちの健全な育成のため、絵本の読み聞かせや読書を推奨する活動をしています。また、保護者にも絵本の楽しさを知って頂くと共に、より多くの場で読む技術のアドバイスも行っています。_x000D_
代表の岸は「子どもとメディアインストラクター」でもあり、長時間のゲームやスマホの視聴への影響などもお話し、子どもたちの心と身体を守る活動もしています。</t>
  </si>
  <si>
    <t>2017年∼現在　「プロから学ぶ　絵本読み聞かせのポイント」ボランティア養成講座（毎年2回）_x000D_
2017、2018年「札幌市民講座　読み聞かせボランティアをはじめよう」講師_x000D_
2017年～　親子向けえほん読み聞かせ会_x000D_
2018年　絵本作家と写真絵本をつくってみようワークショップ_x000D_
2018年　0∼2歳の絵本と子育て_x000D_
2018年10月～現在　書店での「ファンタジア絵本読み聞かせ会」（毎月1回）_x000D_
2019年　さっぽろドーム「スポーツバイキング」絵本読み聞かせ　他多数_x000D_
2019年　北海道読書推進運動協議会　「優良読書グループ　奨励賞」受賞</t>
  </si>
  <si>
    <t>代表　高田　慶子</t>
  </si>
  <si>
    <t>当会は、将棋と楽しく親しみ無理なく生涯にわたって楽しむことを目的に活動する。この目的を達成することにより、身近なところで将棋を学び、多世代で将棋を指して楽しみ、地域という枠組みだけではない、将棋というコミュニティーを作りだし、「みんなで将棋をさせば楽しい」という思いで社会の文化的な発展に寄与する。</t>
  </si>
  <si>
    <t>主に、将棋を指す場の提供に合わせ、将棋を学ぶ場の提供を行う。_x000D_
また、参加者へアンケートを行い、参加者により寄り添える形の事業運営として、はじめての方向け将棋教室とルールが分かる人向けとレベル分けを行った教室運営など、自分たちの許容範囲での参加者へのアプローチを行っている。</t>
  </si>
  <si>
    <t>・H31.2～R2.2新琴似将棋教室・将棋サロン（毎月第２土）_x000D_
　将棋を学ぶ場と将棋を指して楽しむ場_x000D_
・R1.1ふゆやすみ新琴似将棋教室_x000D_
12日初めて将棋を指す方向け_x000D_
13日将棋のルールがわかる人向け_x000D_
・R元.7.8なつやすみ新琴似将棋教室３日間_x000D_
・R元.3はるやすみ新琴似将棋教室３日間_x000D_
・R元.1ふゆやすみあさぶー将棋教室３日間</t>
  </si>
  <si>
    <t>代表　山本　未斗</t>
  </si>
  <si>
    <t>平成29年03月</t>
  </si>
  <si>
    <t>2歳ころから小学校就学前の親子を対象にアートセラピーを要素を取り入れた様々なアートを提供する。家庭ではできないようなダイナミックなアート表現を行うことで発散・心の開放、想像力・創造性を育むことを目的としている。また子ともが安心・安全な表現の場を目指している。保護者のメニューを用意することで、日ごろ忙しい保護者もリラックスできる場所を提供する。</t>
  </si>
  <si>
    <t>月1回の定期クラスでアートセラピーの要素を取り入れた様々なアートを提供する。子どもたちがアートする傍らで保護者向けのプチメニューを用意し保護者同志の交流も行う。</t>
  </si>
  <si>
    <t>2017年3月より月に一回定期クラスを開催</t>
  </si>
  <si>
    <t>代表　飯田　くるみ</t>
  </si>
  <si>
    <t>札幌市南区藤野</t>
  </si>
  <si>
    <t>少子高齢化が深刻化しつつある藤野地区において、子育て世代とシニア世代が交流・共生できる地域づくりとあたたかみのある地域性を広め守り続けることを目的とする。</t>
  </si>
  <si>
    <t>　藤野というあたたかみのある地域性を大切にし、多くの魅力を地元だけでなく他地域にも発信し伝えていきたいという思いから地域の方々と共に藤野のまち歩きマップを作成、発行。地域調査や様々な活動の中で育児等に支援を必要とする子育て世代と退職後も何か役に立ちたいと役割を求めるシニア世代が多いことから、住民同士の新たなつながりや必要とする世代をつなげるきっかけとなるイベント等の企画も行っています。また、子どもからお年寄りの方の居場所づくりを目指し平成３１年４月より地域食堂「WAO!食堂」を月に１度、悩みを抱える子育て世代に向けた意見交換や悩み相談、専門知識を身に着けることが出来る「子育て講座」も開催しています。今後もひとりひとりが楽しいと思える企画を継続・開拓していくことで広がるつながりや様々な活動に触れ支援し合う楽しみを拡散発信し共有していける事業展開に努めてまいります。</t>
  </si>
  <si>
    <t>_x000D_
平成30年   6月　多世代交流イベント「WAO!フェスタ」開催_x000D_
　　　　　     8月　札幌市立大学デザイン学部との連携　地域活性化ワークショップ開催_x000D_
               9月　まち歩きマップ完成、配布。藤野地域の店舗、施設等に設置。_x000D_
      　7月・10月　むくどりホームとの合同イベント開催_x000D_
　　　　　　        　地域ニーズ調査、アンケート配布（藤野地域3,000世帯）_x000D_
平成31年　 7月　藤野高台町内会夏祭り参加_x000D_
令和2年2月現在 月に1度地域食堂「WAO!食堂」を開催（平成30年10月～全13回）_x000D_
　　　　　　　        隔月「子育て講座」を開催（令和元年10月～全2回）</t>
  </si>
  <si>
    <t>代表理事　草野　竹史</t>
  </si>
  <si>
    <t>札幌市を中心とする道内全域</t>
  </si>
  <si>
    <t>“ezorock”は、「社会を揺り動かす」という理念のもと、2000年に行われた「RISING SUN ROCK FESTIVALにおける環境対策活動」をきっかけに2001年4月に設立。現在では、青年層のネットワーク拡大とともに、北海道の地域課題に対して、若者のアイディアやパワーを届ける事業を展開。活動を通して若者が自らの人生と社会を切り開いていく機会を作り出しています。</t>
  </si>
  <si>
    <t>1)ボランティアマッチングに関する事業_x000D_
2)プロジェクトコーディネートに関する事業_x000D_
3)人材育成に関する事業_x000D_
4)青年層による自発的な取り組みを支援する事業</t>
  </si>
  <si>
    <t>2018年度_x000D_
活動回数：278回_x000D_
活動日数：311日_x000D_
活動人数：のべ2,047人_x000D_
活動地域：18市区町村</t>
  </si>
  <si>
    <t>団長　小澤　昌人</t>
  </si>
  <si>
    <t>知的障がいを持つ青年たちが、日頃苦手なコミュニケーションを学習する場として、又自分たちを自分らしく表現する場として、演劇という芸術活動を通して社会参加する場として設立され、広く社会の障がい者理解に寄与することを目的とする。</t>
  </si>
  <si>
    <t>週１～２回の演劇のレッスン。_x000D_
内容_x000D_
　発生訓練_x000D_
　コミュニケーションゲーム_x000D_
　詩の朗読_x000D_
　演劇のレッスン</t>
  </si>
  <si>
    <t>2017年３月　第１回公演「三年峠」（公演時間15分）コンベンションセンター_x000D_
2018年３月　第２回公演「野良犬のブルース」（公演時間45分）コンベンションセンター_x000D_
2018年12月　第３回公演「おぉーい！ともだち！！」公演時間（65分）コンベンションセンター_x000D_
2019年12月　第４回公演「おぉーい！ともだち！！」公演時間（65分）札幌市こどもの劇場やまびこ座</t>
  </si>
  <si>
    <t>代表　竹部　礼子</t>
  </si>
  <si>
    <t>「モノでつなぐありがとうのバトン」をテーマに、2018年６月設立。_x000D_
各家庭で余剰してしまった「まだ使えるモッタイナイモノ」を回収し、必要とされる個人・場にお渡しする事で、そのモノの価値を活かし、モノを大切にする心を啓蒙し、サスティナブルな社会づくりに寄与することを目的にとしています。</t>
  </si>
  <si>
    <t>・「モノドライブ」というモノの回収イベントの他、個人より随時受付にて、家庭で余剰している文具や日用品、お下がりなどを回収。_x000D_
・回収品を提携している児童養護施設様・社会福祉法人様へ寄贈し、活動に役立てていただく。_x000D_
・シングルマザー支援団体様と提携し、フリーバザーを開催。_x000D_
・絵本交換会を実施し、自宅に眠る絵本を循環させ、新たな絵本に出会う機会を楽しんでいただく。_x000D_
・こどもだけのフリーマーケットを開催し、子どもたちにモノの大切さを学んでもらう。</t>
  </si>
  <si>
    <t>2019年度実績_x000D_
2019年6月、8月、10月、2020年1月に「モノドライブ」開催_x000D_
2019年8月　こどもフリーマーケット開催_x000D_
2019年10月絵本交換会開催_x000D_
隔月でシングルマザー向けフリーバザー開催_x000D_
市民活動プラザ星園にて毎月バザーを開催</t>
  </si>
  <si>
    <t>代表　坪島　未来</t>
  </si>
  <si>
    <t>北海道大学構内</t>
  </si>
  <si>
    <t>北大札幌キャンパスは、札幌の観光名所の一つとして名高いです。特に10月末から11月にかけてのイチョウ並木の黄葉は美しく、老若男女、国内外問わず、多くの地域住民や観光客が北大を訪れます。この時季に金葉祭を開催することで、新たな地域住民との交流の場を提供します。また、北大をより地域に根ざしたものとするためイチョウ並木のライトアップを行い、北大の魅力をさらに広める一助としていくことを目指します。</t>
  </si>
  <si>
    <t>・イチョウ並木の全面ライトアップ…夕方から北大イチョウ並木の全面ライトアップを行う。 点灯直前にはカウントダウンイベントも行う。 _x000D_
・自然工作体験、実験教室…北大の自然と親しめるような工作体験や、手軽に科学的な体験ができるような実験教室を用意する。 （どんぐりやまつぼっくりを使ったリース、ツリーなどの小物づくり、顕微鏡で葉っぱの繊維の観察など）_x000D_
・縁日…低年齢の方々でも楽しめるように射的、ヨーヨーすくいなどを開催する。 _x000D_
・飲食屋台運営…テント、プレハブを設置し、豚汁、焼き芋、焼きそば、じゃがバター等を提供する。</t>
  </si>
  <si>
    <t xml:space="preserve"> ≪第7回 / 2018年度≫ _x000D_
来場者数：約 37,000 人、開催日時：2018年 10月27,　28日(土,日)　10 時～21 時 (ライトアップ時間:18 時～21 時) メディア露出状況:STV、HTB、UHB、JCOMTV、北海道新聞、じゃらん、porocoなど _x000D_
≪第8回 / 2019年度≫_x000D_
脅迫メールにより、本祭中止。メディア露出状況：NHK、フジテレビ、北海道新聞、じゃらんなど。その他中止に関する報道多数</t>
  </si>
  <si>
    <t>座長　鈴木　喜三夫</t>
  </si>
  <si>
    <t>札幌市内および道内、国内外</t>
  </si>
  <si>
    <t>平成21年03月</t>
  </si>
  <si>
    <t>私たち「座・れら」は、新劇の伝統に立脚し、人の気持ちに寄り添い人の心に響く良質な演劇作品を、多くの人々と共有するため、２００９年春、演劇制作体「鈴木喜三夫＋芝居の仲間」を母体に設立された劇団です。</t>
  </si>
  <si>
    <t>◇演劇作品の創作_x000D_
◇演劇誌「風」の発行_x000D_
◇観劇ワークショップ_x000D_
◇若手演劇人の育成_x000D_
◇その他</t>
  </si>
  <si>
    <t>2019年11月戸塚直人作演出『私　ミープ・ヒースの物語』上演_x000D_
（北海道戯曲賞最終候補作品、TGR2019特別賞受賞）_x000D_
2018年7月11月『The別役！別役実の女と男』上演（サンピアザ劇場神谷演劇賞受賞）_x000D_
2017年11月鈴木喜三夫演出『アンネの日記』上演（TGR2017優秀賞受賞）_x000D_
2017年1月戸塚直人演出『わが指のオーケストラ』上演（市内手話サークル研修交流会記念公_x000D_
演）　　　　　2012年～2014年戸塚直人演出『不知火の燃ゆ』上演（韓国光州平和演劇祭参加等）_x000D_
2009年～2010年旗揚げ公演鈴木喜三夫演出『空の記憶』（札幌、江別、東京公演）　など_x000D_
演劇誌「風」１～10号発行</t>
  </si>
  <si>
    <t>代表　上田　未香</t>
  </si>
  <si>
    <t>小学校の通常のカリキュラムだけでは、補えないような、自己肯定感や自己承認欲求を高め心の豊かさを育めるような場所作りをすることを目的とし設立。</t>
  </si>
  <si>
    <t>アメリカの小学校教育の中でも取り入れられている、キッズヨガプログラム（ヨガをベースとして、アメリカで開発されたプログラム）を、各地域で月に1回ずつ定期開催している。また長期休みには、子ども主体で、発案、企画、実践ができる合同イベントも開催している。</t>
  </si>
  <si>
    <t>2019年1月冬休みイベント、キッズヨガ体験会として開催。その後2月以降に各地域で毎月開催。_x000D_
2019年夏休みには、子ども主体の夏祭りフェスティバル、2019年冬休みには、子ども主体のフリーマーケットなども開催している。_x000D_
2019年12月には、アリオ札幌のステージイベントとして出演。_x000D_
その他イベント等で、キッズヨガの公布活動もしている。</t>
  </si>
  <si>
    <t>理事長　斉藤　三寛</t>
  </si>
  <si>
    <t>真駒内セキスイハイムスタジアム(札幌市南区)</t>
  </si>
  <si>
    <t>近年札幌市内の花火大会開催は、減少している今、北海道を代表する、札幌市真駒内の地にて花火大会を開催することにより、多くの道民に夏の楽しさと活力を与えるとともに、「北国北海道」を代表していくようなイベントとして、北海道内はもとより道外・海外からも多くの観光客を誘致し北海道の経済活性化に寄与することを目的に2011年より始まりました。</t>
  </si>
  <si>
    <t>札幌市南区真駒内にある屋外競技場「真駒内セキスイハイムスタジアム」で花火大会を開催。_x000D_
道内最大級2万2千発の打上数を誇り、花火・音楽・照明・炎がコラボしたエンターテイメント花火ショー。_x000D_
約50店舗の飲食店や、花火打上前のステージショーで花火以外でも楽しめるよう工夫しています。</t>
  </si>
  <si>
    <t>2011年より毎年7月に開催しており、今年で10回目を迎えます。_x000D_
無料の花火大会が多い北海道で、完全有料の花火大会として、最初は苦戦しましたが、年々知名度が上がっていき北海道内の観客はもちろん、道外・海外の観客も増えてきております。_x000D_
また、従来の花火大会よりもイスの指定席のため年配の方の来場も多く、老若男女問わずご来場いただいております。</t>
  </si>
  <si>
    <t>理事長　穴澤　義晴</t>
  </si>
  <si>
    <t>札幌市全域・空知管区</t>
  </si>
  <si>
    <t>子どもから高齢者までを対象に、生活・仕事・活動（あそび・スポーツ・芸術文化）に係わるプログラム提供をとおして共生コミュニティの再創造のための課題に対する調査研究や人材育成を進め、すべての人が共に豊かに生きることのできる社会の形成に寄与することを目的とする。</t>
  </si>
  <si>
    <t>生活困窮者支援事業_x000D_
市民活動プラザ星園の管理運営_x000D_
子育て支援事業</t>
  </si>
  <si>
    <t>・市民活動プラザ星園の管理運営事業受託（札幌市）_x000D_
・北海道生活困窮者自立促進支援事業受託（北海道）※空知総合振興局_x000D_
・札幌市ホームレス相談支援センター運営業務受託（札幌市）_x000D_
・岩見沢市生活困窮者自立相談支援事業受託（岩見沢市）_x000D_
・三笠市、芦別市、歌志内市、滝川市、赤平市、美唄市　生活困窮者自立相談支援事業受諾_x000D_
・生活困窮・生活保護受給者等を対象とした就労準備支援事業（カフェ事業・清掃訓練事業等）_x000D_
・チャレンジハウスプロジェクト</t>
  </si>
  <si>
    <t>代表　村上　哲子</t>
  </si>
  <si>
    <t>札幌市豊平区、清田区</t>
  </si>
  <si>
    <t>私たちが暮らしている街は核家族も多く、地域の人々とも関係も作りづらいと思われる環境のなか、不安や負担感、閉寒感を感じながら子育てしてる親も多いのではないかと思い、こどもたちを慈しみ、親に寄り添い、すこしでも子育てしている人を応援出来たらと思っています。</t>
  </si>
  <si>
    <t>・依頼者の要望に合わせた、個人保育、集団保育_x000D_
・親子ひろば「べりぃタイム」_x000D_
・訪問型子育て支援「菜の花」</t>
  </si>
  <si>
    <t>・2007，4月　べりぃタイムを有料にて開始_x000D_
・2010、助成金を受け、夏まつり、水源地探索、雪遊びなど親子で自然にふれ好評を得た。_x000D_
・2013、札幌市地域子育て支援拠点事業の補助金を受け、べりぃタイムを週3回無料にした。　　　　　　　_x000D_
・助成金を受け、訪問型子育て支援「菜の花」をはじめる。_x000D_
・２０１８，１２　子ども未来大賞受賞</t>
  </si>
  <si>
    <t>代表理事　阿部　美幸</t>
  </si>
  <si>
    <t>令和04年08月</t>
  </si>
  <si>
    <t>平成29年11月</t>
  </si>
  <si>
    <t>この法人は、小児がんの子どもたちとその家族を支援するため、小児がんの子どもたちへの学習機会の提供、子どもたちやその家族の交流の場を提供することで、小児がんの子どもとそれを支える家族の精神的負担の軽減を図り、充実した生活を未来につなぐことのできる社会づくりに寄与することを目的とする。</t>
  </si>
  <si>
    <t>　闘病による入退院での学習の遅れ、感染の危険性、いじめなどによる不登校を対象とした子どもたちへの学習サポートの活動をしています。幼児・小中 高校生の子どもたちの学習面を支える勉強サポートチームを結成し、チームの大学生や社会人(現役高校教師・元教員)が自宅やレンタルルーム、またオ ンラインによる指導も取り入れ勉強を教えています。 また、保護者やきょうだいの交流を深めるイベントの実施を行い、今までできなかった体験ができる ことを念頭に活動しています。 ボランティアの募集要項として教育に携わって来られた方をメインとし、サポートしている現状です。ボランティアと触れあう ことにより、学習だけではなく社会との接点、気分転換やストレスの軽減に力添えしたいと活動しています。 "できる"が増えることで自信を生み、精神面 での意欲アップ、さらに勉強への焦り、不安感の解消に繋げていきたいと思っています。 将来に向けて成長して行く子どもにとって欠くことの出来ない活 動です。 子ども一人一人に合った年間スケジュールを組み、体調に応じて臨機応変に対応をしています。 　また、ファミリーハウスを利用した患者家族の声を聞き、患者の立場に立った日本ではまだ一つもない新しい形の体感型・勉強託児施設を併設したファ ミリーハウスを作ることを目標に活動しています。2018年からは北海道情報大学 情報メディア学部の全面協力を得て体感型アート（プロジェクションマッ ピング）を製作し、「何かを創造する事が楽しいという体験を通して、入院している子どもたちが一時でも痛みを忘れ楽しむ」という研究を続け、ファミリーハ ウスに取り入れる事を目標に活動しています。外出できない子どもたちを映像の力で浜辺に連れて行き、打ち寄せる波で遊ぶ体験、お魚の絵を書いて海 の中で泳がせる体験などをしています。</t>
  </si>
  <si>
    <t>赤十字との連携による献血推進運動_x000D_
代表自らの体験を基としたロータリークラブでの講演会_x000D_
ボランティアによる学習サポート_x000D_
各種イベントの実施_x000D_
募金活動のチャリティーイベント_x000D_
札幌発寒イオン幸せの黄色いレシートの運動_x000D_
退院した家族の交流会_x000D_
病院へのボランティア訪問</t>
  </si>
  <si>
    <t>代表　まつもと　ゆかり</t>
  </si>
  <si>
    <t>札幌市北区、中央区等</t>
  </si>
  <si>
    <t>DV被害で傷ついた女性の心のケアと社会復帰を支援するとともに、暴力を目撃した子どもの支援及び社会へのDV啓蒙活動を行い、人権の擁護と男女共同参画社会の増進に寄与する</t>
  </si>
  <si>
    <t>・DV被害女性のためのピアサポートグループ（自助会）の開催_x000D_
・DV講座「心のケアとサポート講座」の開催_x000D_
・子どもの支援活動（託児時間での寄り添い、おやつ郵送）_x000D_
・加害者プログラムの開催_x000D_
・研修会主催_x000D_
・講師派遣</t>
  </si>
  <si>
    <t>2011年から継続的に活動。2015年には、道内唯一のDV加害者プログラムを開始。道内各地から問い合わせや参加がある。_x000D_
・ピアサポートグループ　年24回_x000D_
・DV講座「心のケアとサポート講座」、託児　年１２回_x000D_
・加害者プログラム　年44回_x000D_
・加害者プログラムを利用する妻の会　年12回_x000D_
・個別相談　随時_x000D_
・札幌市男女共同参画課主催相談員研修会講師(2020.1.22）　</t>
  </si>
  <si>
    <t>理事長　河西　良介</t>
  </si>
  <si>
    <t>平成27年11月</t>
  </si>
  <si>
    <t>平成24年12月</t>
  </si>
  <si>
    <t>この法人は、年齢や学力、家庭環境や社会的環境に左右されることなく、すべての子どもたちがその能力に応じて学ぶ機会を得るために、学習支援や実践的なキャリア教育・体験学習など青少年の教育や福祉を充実させるための事業や、子育て世代への支援事業を行い、より多様な教育の選択肢と意欲的に学べる環境の提供と、子どもたちの学力の向上と健全な心の成長を支援し、教育機会の均等化、そして子育てのしやすい社会の実現に資することを目的とする。</t>
  </si>
  <si>
    <t>当法人は、学習につまずきのある子どもたちや発達障害、不登校等のこどもたちも含めたインクルーシブ教育を理念とする学習塾と障害児通所支援事業（放課後等デイサービス）を事業の中核とし、そこから地域の子どもたちに食事とイベントを提供する子ども食堂「コミュニティカフェ」、ギフテッドチルドレンを支援する「ぎふてっど寺子屋」、不登校児童を支援する「フリースクールふろむ」など子どもたちが社会の中で排除されること無く、自分らしく人とともに育っていく環境を整えるためのさまざまな事業を行っている。現在、法人全体で160名程度の生徒が通っている。</t>
  </si>
  <si>
    <t>平成24年12月 個別学習塾はるを個人事業として設立（発達障害・不登校児童生徒も受け入れしていく）_x000D_
平成27年11月 特定非営利活動法人はるを設立し法人化_x000D_
平成28年3月   放課後等デイサービスえりくを設立_x000D_
平成30年8月  放課後等デイサービスえりく２を設立_x000D_
平成31年より 「ぎふてっど寺子屋」「コミュニティカフェ」「フリースクールふろむ」などの事業を開始。</t>
  </si>
  <si>
    <t>代表理事　太田　千代</t>
  </si>
  <si>
    <t>札幌市豊平区</t>
  </si>
  <si>
    <t>身近な地域の中で、赤ちゃんからシニアまで、多様な人々が気兼ねなく集える場づくり行う。_x000D_
そして、この場づくりの過程において、集うひとりひとりが生きる力を取り戻し、自分自身や人々に対しての信頼を回復し、人々の中で生きていくことへどの世代も希望を持てるようになること、その積み重ねの中で、ひとりひとりの命が肯定される平和な社会・地域づくりに貢献していくことを目的として、設立しました。</t>
  </si>
  <si>
    <t>多様な人々が集まる場を創ることで、可能な限り各自が生きる上で直面する多様な困りごとや心配事も共有し、地域の様々な社会的資源とのつながりも視野に入れながら具体的な支え合いの関係づくりを培っていく。_x000D_
ひろば事業　赤ちゃんひろば　毎週月曜日　１０：００～１５：００　　みんなのひろば　毎週水曜日　１０：００～１５：００　金曜日　１２：００～１７：００（但し、第３金曜日はおかえりひろば１５：００～２０：００）　　学びのひろば　月１回　　ねっこアフター（若者・青年対象）　月１回学さぽ　第４土曜日　１４：００～１６：００（NPOカコタムと共催）　　その他イベント　　寺子屋ねっこ（小学生対象）　　焼き焼き会　　ほっとたいむ（バザー）　講演会等の主催　　　</t>
  </si>
  <si>
    <t>・２００７年６月～つどいのひろば事業を黎明幼稚園・月寒教会のスペースで開始_x000D_
・２０１1年10月、札幌市より地域子育て支援拠点事業の指定を受けてからは、週３回各３時間開いていたひろばの時間を、各回５時間まで広げて開催（上記活動内容参照）_x000D_
・２０１４年から、ねっこアフターという事業を月一度開催（上記活動の中で、青年層の集える　場所の必要性から実施を決定）_x000D_
・経済的困難家庭の子どもたちへの学習支援をNPO法人カコタムと共催で実施_x000D_
・２０１７年１０月から自主事業で行っていた夜の子育てサロンが札幌市で初、拠点事業枠内開催が認められ、２０１９年４月から月に１度金曜日夜”おかえりひろば”という名称で開催</t>
  </si>
  <si>
    <t>代表理事　日向　洋喜</t>
  </si>
  <si>
    <t>ゲストハウス雪結</t>
  </si>
  <si>
    <t>令和元年10月</t>
  </si>
  <si>
    <t>札幌のこどもたちと地域住民や観光客等、様々な世代、様々な世界と出会うきっかけを作り、子ども達の将来の選択肢や夢が増えるサポートを目的とする。</t>
  </si>
  <si>
    <t>札幌の「ゲストハウス雪結」の一室を使用した学童保育「アドベンチャークラブ札幌」、フリースクー「ルLIKEPLUS」を中心に、札幌のこどもたちが遊びや学び、生活のサポートをしながら、ゲストハウスを通した多様な大人との出会いをサポートしています。_x000D_
また、地域のお祭り等の運営補助や、地域の子育て世帯の交流イベントの開催もしながら、世界と地域のつなぎ役になるような活動もしています。</t>
  </si>
  <si>
    <t>2017年　7月　学童保育アドベンチャークラブ札幌設立。_x000D_
2018年　10月・2019年10月　北海道神宮頓宮、秋祭り運営補助_x000D_
2019年　6月　札幌創成東縁日の企画運営_x000D_
2019年　9月　フリースクール「LIKEPLUS」設立_x000D_
2019年　10月　NPO法人格取得「NPO法人E-LINK」に名称変更</t>
  </si>
  <si>
    <t>代表　黒田　朋樹</t>
  </si>
  <si>
    <t>平成26年10月</t>
  </si>
  <si>
    <t>平成27年02月</t>
  </si>
  <si>
    <t>日本の伝統芸や和楽器をより沢山の子ども達に知ってもらい、体験してもらい、見てもらい、未来へつなぐことを目的に、舞台公演や体験事業を実施運営する事を目的とする。</t>
  </si>
  <si>
    <t>（1）和芸、和楽器アーティストによる子ども向け舞台公演の実施_x000D_
（2）和芸、和楽器アーティストによる子ども向け体験事業_x000D_
（3）その他、団体の目的の達成のために必要な事業。</t>
  </si>
  <si>
    <t>2015年　2月　やまびこ座での第一回公演実施_x000D_
2015年9月　第2回公演実施_x000D_
2018年3月　つくばカピオで第3回公演実施_x000D_
2019年8月 札幌市でワークショップ3日間＆ミニ公演1日　実施(子ども夢基金助成)　_x000D_
2020年3月　札幌市でワークショップ1日＆ミニ公演1日　実施予定</t>
  </si>
  <si>
    <t>代表理事　山田　大樹</t>
  </si>
  <si>
    <t>札幌市内、及び近郊</t>
  </si>
  <si>
    <t>平成23年08月</t>
  </si>
  <si>
    <t>子どもたちが大変だと聞きます。学校も大変だと聞きます。家庭も大変だと聞きます。_x000D_
３つあわせて、教育が大変だと聞きます。今に始まったことではない、以前から言われつづけていることですが、大変だ大変だという声は聞こえて、しかし、私が何とかしようという声を聞きません。三者の中で解決せよといいます。これでは三者の重心の位置が変化するだけで、負担は減らない。いつまでたっても大変なままの所以です。漂流教室は、それならば自分がという思いを持つ者が集まり創設されました。_x000D_
目指していることは単純です。子ども・家庭・学校の三者でしょっている苦労を私たちも背負うというものです。不登校であっても登校していても、子どもたちは既に現代社会を漂流しています。ならば、私たちも共に漂流しようと思うのです。</t>
  </si>
  <si>
    <t>不登校・ひきこもりなどの生きづらさを抱える子供・若者の下に週一回1時間を基本として訪問する「メンタルフレンド」活動と好きな時に来て過ごすことができる居場所「漂着教室」を運営しています。また、子供の貧困対策として後志地区の生活困窮世帯への学習支援を北海道後志総合振興局から受託しています。関係団体とのネットワーク作りを行い、子供の権利擁護推進を進めています。</t>
  </si>
  <si>
    <t>2002年6月〜メンタルフレンド訪問開始_x000D_
2006年6月〜フリースペース漂着教室開設_x000D_
2009年9月〜後志総合振興局より生活困窮世帯学習支援事業受託_x000D_
2011年8月　NPO法人化_x000D_
開催行事：_x000D_
Just 40 Life〜ひきこもり名人勝山実との鼎談〜(2011)_x000D_
 しゃかいさんか〜いっぱんじん連合代表とひきこもり名人(2014)_x000D_
しゃかいさんか2〜不登校新聞編集長と語る〜(2015)等_x000D_
北海道フリースクール等ネットワーク会員</t>
  </si>
  <si>
    <t>理事長　勝田　珠美</t>
  </si>
  <si>
    <t>平成28年11月</t>
  </si>
  <si>
    <t>猫の殺処分ゼロを目指し、 行政（保健所・動物愛護センター）などから猫を引取り、飼育希望の方に譲渡する活動並びに地域猫活動、多頭飼育崩壊の場から猫の保護、適正飼育に関する啓発事業を目的にしています。</t>
  </si>
  <si>
    <t>・行政（保健所・愛護センター）などから猫を引き取り、飼育希望の方に譲渡する活動_x000D_
・譲渡までの保護飼育_x000D_
・譲渡前猫への医療行為（ワクチン接種・便検査・駆虫　他）去勢不妊手術の実施_x000D_
・ 地域猫活動_x000D_
・適正飼育に関する啓発事業_x000D_
・上記活動を補う情報の収集と提供</t>
  </si>
  <si>
    <t>・行政（保健所・愛護センター）、「人と海鳥と猫が共生する天売島」連絡協議会(環境省、北海道、羽幌町、北海道獣医師会)、地域包括支援センター、獣医師会等と連携した猫の保護活動_x000D_
・キャットラウンジ、保健所・愛護センター、ホームセンター等で譲渡会や啓発のパネル展示。_x000D_
・災害図上訓練や適性飼育に関する勉強会の開催_x000D_
・胆振東部地震でのペット救助活動・地域猫のTNR活動</t>
  </si>
  <si>
    <t>代表理事　長江　孝</t>
  </si>
  <si>
    <t>札幌市内および近郊</t>
  </si>
  <si>
    <t>平成17年04月</t>
  </si>
  <si>
    <t>未来を担うこどもたち一人一人がイキイキと成長し、こどもと若者が共に育ち合うことの出来る社会を創るため、児童・生徒・青少年および関係する保護者などに対して、体験活動に関する企画・運営事業や体験活動に関する人材育成及び交流事業、体験活動を推進するために必要な普及啓発および調査研究事業、体験活動を実施する団体の育成及び支援事業などを行い、児童・生徒・青少年および関係する保護者の「社会で生きる力」と「社会で生き抜く力」を育てるための支援を行うことで、公益の増進に寄与することを目的とする。</t>
  </si>
  <si>
    <t>1．体験活動に関する企画・運営事業_x000D_
児童・生徒・青少年および関係する保護者の「社会で生きる力」と「社会で生き抜く力」を育てるための体験活動に関する企画・運営を行う_x000D_
1-1　夏冬海あそび入門楽宿　小学生対象の自然体験活動プログラム_x000D_
1-2　もしとき教室　小中学生対象の減災教育プログラム_x000D_
1-3　ファームすくーる　小中学生対象の牧場での仕事体験宿泊活動プログラム_x000D_
2．体験活動に関する人材育成及び交流事業_x000D_
3．体験活動を推進するために必要な普及啓発及び研究調査_x000D_
4．体験活動を実施する団体の育成及び支援事業</t>
  </si>
  <si>
    <t>1．体験活動に関する企画・運営事業_x000D_
夏あそび入門楽宿（1泊2日）　2011年より7月、8月に2回～4回/年にて実施_x000D_
冬あそび入門楽宿（1泊2日）　2011年より2月に2回/年にて実施_x000D_
ファームすくーる（1泊2日・2泊3日）　2012年より7月、9月、10月など　1回～3回/年にて実施_x000D_
海あそび入門楽宿（1泊2日）　2017年より7月、10月、11月など　2回～3回/年にて実施_x000D_
もしとき教室（1泊2日）　2017年より6月、8月、9月、10月など　2回～4回/年にて実施_x000D_
_x000D_
新型コロナウイルス感染症による休業家庭に対する支援_x000D_
ステイホーム！応援企画第一弾　2020年5月9日　万華鏡工作キット無料プレゼント_x000D_
ステイホーム！応援企画第二弾　2020年5月14日　風車工作キット無料プレゼント_x000D_
ステイホーム！応援企画第三弾　2020年5月20日　～いますぐチャレンジできるあそび①～動画配信_x000D_
ステイホーム！応援企画第四弾　2020年5月22日　～いますぐチャレンジできるあそび②～動画配信_x000D_
ステイホーム！応援企画第五弾　2020年5月23日　～ハイジ牧場からライブ配信～</t>
  </si>
  <si>
    <t>代表理事　安田　香織</t>
  </si>
  <si>
    <t>平成29年05月</t>
  </si>
  <si>
    <t>少子化が進む中で貧困率増加は日本の将来像にも多大な影響を及ぼしており、この社会背景にはひとり親家庭・非正規雇用などの問題が深く関わってきている。この法人は貧困により子どもたちが抱えてしまう弊害を、多様な価値観を提供する事で地域の健全育成を目指すものです。</t>
  </si>
  <si>
    <t>晩ご飯の提供を通して地域をつなげる＜こども食堂＞と学習支援を取り入れた＜学習スペース＞、子どもたちが学校に行っている間に親たちが悩みを共有しあえる＜フリースペース＞、子どもたちの放課後の居場所として＜よってけ場＞を展開し、家庭や学校以外の子どもたちや親たちの居場所づくりに力を入れている。それ以外にも地域の人たちが繋がりを築けるように様々な講座を開き、大人や子どもたちを繋ぐ＜学び舎＞、児童養護施設を訪問し施設の子どもたちと交流を図る＜出張学び舎＞も展開しています。</t>
  </si>
  <si>
    <t>月２回の＜こども食堂＞には毎回２０〜２５名の子どもと７〜１０名の大人たち、月２回の＜学習スペース＞では毎回６名の子どもと３名の大学生ボランティア、月１回の＜フリースペース＞、月２〜３回の＜よってけ場＞は放課後の居場所として子どもたちが３〜７名参加、学び舎事業では＜大人向け講座＞＜子ども向け講座＞を開催し各１０名の参加があります。一人ひとりの子どもたちの様子に気づけるようにSNS(ソーシャルネットワーキングサービス）を通じても子どもたちとの信頼関係を築いてきました。その結果、児童相談所や行政の支援にも繋ぐことができました。</t>
  </si>
  <si>
    <t>代表理事　中村　末太郎</t>
  </si>
  <si>
    <t>昭和41年06月</t>
  </si>
  <si>
    <t>精神障がい者の社会復帰の促進や精神障がい者の家族を抱える家族に対する必要な相談支援を行うとともに、精神保健思想の普及啓発を図ることにより、北海道内の精神障がい者及びその家族の福祉の増進、並びに道民の精神保健の保持増進に寄与する事を目的としている。</t>
  </si>
  <si>
    <t>札幌市北区において就労継続支援B型事業所「ジョイフル・ハウス」を運営し、障がいをお持ちの方の就労の場、居場所として、就労支援、日常生活における相談支援を行っています。また、個別相談の窓口も設けており、主に精神保健に関する電話相談、面談相談などいずれも秘密厳守で行っています。月刊情報誌「ひまわり」も発刊しており、当法人の活動状況、各地域で取り組む出来事や行事、当事者や家族の体験談、相談事例を掲載しています。その他、家族同士が小グループで行う体系的なピアサポート・プログラムを「家族による家族学習会」として実施し、全道家族大会、全道スポーツ大会において、当事者、家族、関係各団体との学び、交流の場を作っています。障がい者授産施設、通所事業所作品のパネル展の開催、また、精神障がいをお持ちの本人や家族に向けられて作られている機関紙「みんなねっと」を斡旋しています。今後も精神障がいをお持ちの当事者や家族への相談支援、社会への情報発信、精神疾患の理解のための普及啓発に努めてまいります。</t>
  </si>
  <si>
    <t>・北海道精神障害者家族大会の開催_x000D_
・全道精神障害回復者スポーツ大会の開催_x000D_
・精神障害者リハビリテーションフォーラムの開催_x000D_
・就労継続支援B型事業所「ジョイフル・ハウス」開設_x000D_
・心をつなぐ家族電話相談の開始_x000D_
・月刊情報誌「ひまわり」の発刊開始_x000D_
・家族による家族学習会の開始_x000D_
・みんなねっと斡旋開始_x000D_
・障がい者授産施設、通所事業所作品パネル展開催</t>
  </si>
  <si>
    <t>理事長　木原　淑行</t>
  </si>
  <si>
    <t>札幌市内、北海道内全域</t>
  </si>
  <si>
    <t>平成24年05月</t>
  </si>
  <si>
    <t>北海道内の地域住民に対して、文化・芸術活動成果発表の機会の提供や、女性と子どもに関するさまざまな社会問題についての啓発のため、住民自らが参加する市民活動の企画・運営に関する事業を行い、地域住民の自己実現の場づくりを通じて協働・共生型の社会の発展に寄与することを目的とする。</t>
  </si>
  <si>
    <t>地域住民の健康と福祉を促進するため、乳がんの早期発見、早期治療を呼び掛ける「ピンクリボンinSAPPORO」の活動や、障がいのある人もない人もいっしょにステージを構築していく「いっしょにね！文化祭」の活動を通じて、地域住民が協働することでつながりを創出し、誰もが共生していける社会を目指し活動しています。</t>
  </si>
  <si>
    <t>●平成26年度から現在まで、地域住民参加型音楽、芸能、等イベントの企画運営事業「いっしょにね！文化祭」の活動_x000D_
●平成24年度から現在まで、乳がんの早期発見・早期治療を促す啓発事業「ピンクリボンinSAPPORO」の活動_x000D_
●平成28年度～30年度まで、町内会・地域団体のまちづくり推進、女性や子どもの安全を守る視点から地域防災を考えた「地域防災保育フォーラム」を開催、そのほか避難訓練、HUG教室など、地域防災活動に参加</t>
  </si>
  <si>
    <t>代表理事　浅野目　祥子</t>
  </si>
  <si>
    <t>平成02年04月</t>
  </si>
  <si>
    <t>障がいを持つ方、高齢で介助が必要な方と一緒に、楽しむ事を基本方針に様々なボランティア活動や助け合いの気持ちを広める活動を行い、誰もが平等に参加できる社会を作ります。福祉の増進及び人権の擁護に寄与することを目的とする。</t>
  </si>
  <si>
    <t>さっぽろ雪まつり見学に介助が必要な方に、ボランティアを派遣している「福祉ボランティアハウス」の運営を1990年から行っています。　現在はその他に、就労継続支援B型の「就労支援センター手と手」や北海道大学総合博物館内に「ミュージアムカフェぽらす」「ミュージアムショップぽとろ」の運営、障がいについての講師を派遣する「障がい研修センターこころ」など、障がいを持った方の社会参加の場所を幅広く作っていく活動を行っています。</t>
  </si>
  <si>
    <t>1990年　さっぽろ雪まつり「ボランティアハウス」の運営継続のため運営に関わる人々が中心となって、『ボランティアサークル手と手』を発足。_x000D_
2002年　雪まつりの経験から考えた車いす防寒具「ヌクヌク」で札幌市“Made In 札幌グランプリ”特別賞を受賞_x000D_
2003年 認可を受けてNPO法人となる。札幌市社会福祉協議会会長表彰_x000D_
2006年 札幌街づくりコンクール奨励賞を受賞_x000D_
2007年　新日本海フェリーで行く“手と手”京都ツアーを企画・実行。_x000D_
2009年 北海道運輸局バリアフリー普及促進表彰を受賞。　就労継続支援事業開始_x000D_
2010年 国土交通省バリアフリー化推進功労者大臣表彰を受賞　　研修事業「障がい福祉研修センターこころ」立ち上げ_x000D_
2016年　北海道大学総合博物館内に　ミュージアムカフェぽらす開店_x000D_
2018年　北海道大学総合博物館内にミュージアムショップぽとろ開店_x000D_
松竹映画「こんな夜更けにバナナかよ」介助指導講師派遣</t>
  </si>
  <si>
    <t>理事長　中田　洋子</t>
  </si>
  <si>
    <t>藻岩山、旭山記念公園、月寒公園、宮ヶ丘公園、桜山</t>
  </si>
  <si>
    <t>自然林のきのこを楽しみながら会員との交流を図り、菌類の普及啓発と環境保存活動、社会貢献活動。</t>
  </si>
  <si>
    <t>きのこ定例観察会。イベントきのこフオーラム＆家族きのこ観察会。機関や他団体のきのこ観察支援。</t>
  </si>
  <si>
    <t>第一回さっぽろ環境賞_x000D_
 　平成２１年６月２５日（札幌市長　上田　文雄）_x000D_
 　環境保全創造部門　特別賞受賞。_x000D_
_x000D_
 ＊第六回さっぽろ環境賞_x000D_
 　平成２７年１月２８日（札幌市長　上田　文雄）_x000D_
 　環境保全創造部門　地域賞受賞。_x000D_
_x000D_
 ＊学校教育推進感謝状_x000D_
 　平成２６年１２月１５日（札幌市長　上田　文雄）_x000D_
 　「藻岩山の森林と関わるきのこ達＆札幌近郊林のきのこ」_x000D_
 　本を各学校に寄贈にて札幌市教育委員会より受賞。_x000D_
_x000D_
 ＊ほっかいどう地球温暖化防止貢献賞_x000D_
 　平成２６年１２月１日（北海道知事　高橋　はるみ）_x000D_
 　森づくりコンクール　最優秀賞受賞_x000D_
_x000D_
 ＊第２８回全国森林レクレーション林野庁長官賞_x000D_
 　平成２８年６月３日（林野庁長官賞　今井　敏）_x000D_
 　全国森林レクレーション地域美化活動コンクール_x000D_
　優秀賞受賞_x000D_
_x000D_
 ＊平成２８年度北海道社会貢献賞_x000D_
 　平成２８年１２月２０日（北海道知事　高橋　はるみ）_x000D_
 　森を守り緑に親しむ功労者として受賞。</t>
  </si>
  <si>
    <t>代表　吉野　奈美佳</t>
  </si>
  <si>
    <t>令和元年09月</t>
  </si>
  <si>
    <t>札幌市内の学校で必要な設備を聞き取り民間と学校の架け橋として交流を活性化することを目的とする。</t>
  </si>
  <si>
    <t>学校を設備面からサポートすることにより生徒や学校で働く方が活動しやすい環境づくりを行っています。現在はクーラーや花、アクリルパーテーションのご要望をいただき必要箇所に適時設置したり段取りしてる最中です。今後は西区や豊平区以外の地域の中学校も含め範囲を広げていきたいと考えています。</t>
  </si>
  <si>
    <t>令和2年6月26日東園小学校設置_x000D_
令和2年7月9日手稲東小学校設置_x000D_
令和2年7月21日東園小学校設置</t>
  </si>
  <si>
    <t>会長　中井　昭一</t>
  </si>
  <si>
    <t>札幌市豊平区平岸地区</t>
  </si>
  <si>
    <t>令和元年11月</t>
  </si>
  <si>
    <t>平岸村の開村150年を契機に、平岸・南平岸地区に居住する有志が一体となり「平岸ふるさと会」を設立し、両地区の明るく、豊かな、住み良いまちづくりの架け橋となる事業を展開する。併せて記念事業開催により、先人達が努力と英知を重ね、築き上げた平岸を次世代に引き継ぐと共に、地域の方々に還元されることを目的とする。</t>
  </si>
  <si>
    <t>令和3年度以降に目的を達成するために、記念事業の計画、実施を行う。_x000D_
①祝賀会の開催・②記念品の製作・③記念誌の発行・④記念事業PRに関わる企画、制作・⑤その他、目的を達成する事業。</t>
  </si>
  <si>
    <t>・会議のみ_x000D_
①発起人会　2回、②実行委員会　2回、③役員会　5回</t>
  </si>
  <si>
    <t>代表理事　横山　芳江</t>
  </si>
  <si>
    <t>令和02年11月</t>
  </si>
  <si>
    <t>札幌市内に住んでいる全ての人に役立つ風呂敷文化の伝承と学術的研究、産学連携の推進、風呂敷普及を目的として設立された団体です。            _x000D_
日本の伝統文化を守ると共に、風呂敷を用いた防災及び環境問題　3R　リデュース（減量）、リュース（再使用）、リサイクル（再利用）への取り組み、風呂敷に関する講習会開催及び講師養成と講師認定、風呂敷及び日本文化に関する教育、各種イベントの開催、国際文化交流など協会内外への情報発信、広報活動を行う事業で札幌市内の市民活動を活性化させ、人・モノ・値域を大切にし、心豊かなまちつくりを目的とする。</t>
  </si>
  <si>
    <t>知っていると、いざという時に役立つ風呂敷活用や防災・災害時にも活躍する風呂敷の使い方、環境保全に個人レベルで取り組むことが出来る活動（エコ活動）、3R　リデュース（減量）、リュース（再使用）、リサイクル（再利用）、贈る心を届ける贈答や慶弔に役立つマナーを通して、心を育み、年齢性別を問わず取り組むことが出来る身近な日本文化を次世代に伝承し、知識、技術、を伝え繋げることで地域を繋げ、参加しやすい環境作りを行っております。今後は、町内会、などで行う勉強会やイベントに参加し、新型コロナ感染防止対策を取りながら、密にならない環境を整えながら、情報発信と共に多くの人が風呂敷を通し、互いに学びあい、地域の結束力を高め、災害時に負けない人・まちつくりに努めて参ります。</t>
  </si>
  <si>
    <t>2011年3月　会を立ち上げる。支援活動の中に風呂敷を使った学びと実践を取り入れ広める。2017年9月第1回風呂敷デザインコンテストを開催し、風呂敷への関心と普及に努める。2018年2月道新ホールにて風呂敷講演会を開催。4月札幌市教育文化会館小ホールにて風呂敷講演会、結ぶ包む風呂敷デモストレーション開催。　9月～　北海道胆振東部地震後、北海道中に災害時に役立つ風呂敷の使い方を伝える。2019年4月ちえりあホールにて風呂敷講演会、風呂敷ファッションショー開催。7月フランスへ渡り日本の風呂敷文化を伝える。8月札幌市役所1階ロビーにて風呂敷展示、聖火台前にて風呂敷デモストレーションショーを行い、一般市民の方々に広く風呂敷活用とエコ活動を広める。2020年東海大学と南区真駒内防災風呂敷制作を行う。札幌市内の身近な地域の防災MAPを風呂敷で制作する。2020年11月専門知識と技術を持ったプロフェッショナル育成と風呂敷普及を目指し一般社団法人日本風呂敷文化協会を設立。2021年3月　札幌教育文化会館　講堂にて風呂敷講演会開催。2021年10月　札幌教育文化会館小ホールにて風呂敷講演会、結び包み風呂敷デモストレーション、風呂敷ファッションショー開催予定。</t>
  </si>
  <si>
    <t>代表　江上　良子</t>
  </si>
  <si>
    <t>平成28年09月</t>
  </si>
  <si>
    <t>・札幌市教育委員会生涯学習推進課主導の「家庭教育学級」活動への支援</t>
  </si>
  <si>
    <t>冊子発行、ホームページ管理、講座のコーディネイト、講師説明会</t>
  </si>
  <si>
    <t>　2016年度　発足　登録講師15名、ちらし発行数700枚_x000D_
　2017年度　登録講師33名　当年以降札幌市教育委員会の協力の下、家庭教育学級開設校へ冊子配布、冊子発行数800冊　講師の入会説明会開始_x000D_
　2018年度　登録講師60名　2月・11月　札幌インストラクターガイド体験フェスタ開催　ホームページ開設、冊子発行数1600冊　講師説明会を月1回の定期開催に_x000D_
　2019年度　登録講師80名　冊子を増刷し市外への配布開始（郵送500冊）　11月体験フェスタ開催　企業協賛3社　冊子発行数・家庭教育学級用800冊・全域用2500冊_x000D_
　2020年度　登録講師86名　講師スキルアップのための勉強会を開催　2019年11月27日体験フェスタ開催　冊子発行予定数・家庭教育学級用1500冊・全域用2500冊　市内小中学校へ向けて郵送予定</t>
  </si>
  <si>
    <t>代表　三条　絵里奈</t>
  </si>
  <si>
    <t>本団体の活動は、飼い主のいない野良猫を保護し、保護猫を新たな里親へと繋ぐことを目的とする。</t>
  </si>
  <si>
    <t>主な活動は札幌市を中心とした野良猫の保護と、施設での保護猫のお世話や里親探しです。_x000D_
昨今では、多頭飼育崩壊現場や訳あり家庭からの猫のレスキューも積極的に行っています。_x000D_
一匹でも多くの保護猫が素敵な里親様につながるよう、今後も努めてまいります。</t>
  </si>
  <si>
    <t>平31年２月　団体HPを開設_x000D_
令２年７月　団体設立して、初の大規模な多頭飼育崩壊現場（帯広）から成猫10頭、子猫18頭、合わせて28頭全頭レスキュー。_x000D_
同年11月までにレスキューした保護猫全頭が新しい里親様へつながりました。</t>
  </si>
  <si>
    <t>会長　高橋　大作</t>
  </si>
  <si>
    <t>札幌市内　野外彫刻のある公園など</t>
  </si>
  <si>
    <t>本郷新記念札幌彫刻美術館の支援と彫刻の学習、札幌市内の野外彫刻の調査と清掃を行う。</t>
  </si>
  <si>
    <t>札幌には800点余りの野外彫刻が存在して、自然の中で、独特の存在感を示し私達の目を楽しませてくれています。しかし長年風雪にさらされ補修もされず朽ち果てる彫刻も時々目にする中、作品がその価値を損なわず永く美しい姿で私達を楽しませてくれるよう、各方面の専門家の助言を聞きながら、調査、清掃活動を行う。同時に彫刻に関する学習会を定期的に行う。</t>
  </si>
  <si>
    <t>真駒内公園、中島公園、大通公園を中心に野外彫刻の清掃を毎年10回程度行っている。_x000D_
札幌市内のコンクリート彫刻の経年劣化調査を行い札幌市文化部に報告した。_x000D_
円山動物園のコンクリート彫刻「よいこつよいこ」の修復作業に協力した。_x000D_
全道の彫刻3000点余りを北海道デジタル美術館としてインターネットにアップした。_x000D_
本郷新記念札幌彫刻美術館の図書整理、本郷新にかかわるスクラップブックのデータ化の手伝いをしている。</t>
  </si>
  <si>
    <t>代表　大石　絵梨</t>
  </si>
  <si>
    <t>宮の沢生涯学習センター「ちえりあ」</t>
  </si>
  <si>
    <t>元幼稚園教諭の主婦たちが集まり、子どものいたずら心を大切にし、怒るのではなく子どものことをよく理解し、学ぼうとする心を保護者に分かりやすく伝えていきたい。また、子育ての楽しさを共に感じてもらいたいという気持ちから設立。_x000D_
幼稚園教諭・初級教育カウンセラーなど10年以上のキャリアと保育士・親子ヨガなどの資格を持つスタッフが指導者となり、子どもの成長や育てにくさを感じている母親・子どもの遊び場を探している保護者に親子で楽しめる場を提供する。_x000D_
ダイナミックな遊びを心がけ、親子ともに心も身体もリフレッシュしてほしいと考える</t>
  </si>
  <si>
    <t>「読み聞かせ」「ダイナミック遊び（メイン）」「親子ふれあいtime」の３つのプログラムを柱としたイベント活動を行う。_x000D_
子どもの好奇心をくすぐる仕掛けの手作りおもちゃでのびのびと遊ぶ。また、家庭ではできないダイナミックな遊びを行い、子ども達の探究心を育てる。乳幼児に安全な素材を利用し、感触あそびを行う。_x000D_
親子一緒にまたはそばで遊ぶことにより、安心して遊び、親子の愛着を深める。_x000D_
以上の項目を中心に、心と身体のケアもしながら、集団生活に慣れることで保育園・幼稚園にスムーズに行けるようにサポートする。</t>
  </si>
  <si>
    <t>2015年4月親子イベントのステージ出展として手作りシアターを披露_x000D_
2015年4月～12月は西区と中央区で月2回の本活動＋イベント出展_x000D_
2016年3月～西区を中心に月1回の本活動＋イベント出展や出張活動_x000D_
2017年3月～民間の助成を受け西区での月１活動を継続_x000D_
2020年７月・９月　上記助成審査に落ちたのとコロナの影響で不規則での活動を実施</t>
  </si>
  <si>
    <t>代表　藤田　真理子</t>
  </si>
  <si>
    <t>エルプラザ</t>
  </si>
  <si>
    <t>1919年ドイツで始まり、現在、世界のおよそ1000もの学校で実践されているシュタイナー教育を、札幌の小学校たちにも体験してもらいたいとの思いから設立された。「自立した一人一人が、手をとりあって歩む社会」を目指すこの教育を通して、子どもたちが心身豊かに成長し、未来に担う大人へと育ちゆく一助となるよう願っている。メディアによる情報の氾濫、早期教育、分断されゆく個々といった問題をはらむ現代社会において、フォルメン線描や手仕事、身体表現であるオイリュトミーといった芸術教育を行い、子どもたちの中に、本質を見る力、美しいものへの畏敬の念、そして他者への関心を育てることを目的としている。</t>
  </si>
  <si>
    <t>年に3回、北海道外から講師を招いて、札幌近郊の小学生を対象にシュタイナー教育の授業を行っている。「教育は学問んであってはならない。芸術であるべきだ」との観点から、子どもたちが生き生きと世界に関わるような芸術的な授業を実践。学年ごとに、「エポック・手仕事・オイリュトミー」の３部構成となっている。▼エポック授業では、主に国語と算数に取り組む。教師が語るイメージ豊かなお話を聞いたり、リズム体験の中から算数を学び、最後は美しいノートを作りあげる。▼手仕事では、編み物や縫い物など学齢にふさわしい取り組みを通し、他者のために行為する意志力を養う。▼身体芸術であるオイリュトミーでは、調和のとれた美しい音やことばの導きで、体を動かし、バランスの取れた心身の成長を促す。これは、子どもが自らの道を力強く歩み、愛をもって世界を動かす大人になるための、道しるべで_x000D_
ある。</t>
  </si>
  <si>
    <t>2004年「9歳の家づくりプロジェクト」2005年継続的にシュタイナー教育を受ける場として、「教育講座（エポック授業）」2007年「9歳のパン窯づくりプロジェクト」2008年「教育講座（手仕事とオイリュトミー）」を他団体より継承～2019年毎年、7月～9月に2日間ずつ、計6日間の講座を開催2020年東京オリンピック開催予定とコロナ禍の影響で、7月4日間9月2日間の開催</t>
  </si>
  <si>
    <t>代表理事　繁富　奈津子</t>
  </si>
  <si>
    <t>平成31年04月</t>
  </si>
  <si>
    <t>男女平等の意識がいまだに低い北海道で、社会参画を希望する女性に対しセミナーやイベント・交流会を開催することで、女性の社会参画の第一歩につながることを目的として設立。</t>
  </si>
  <si>
    <t>2015年5月より市民団体として、セミナーやイベント・交流会を開催。女性起業家や起業を目指す女性のみならず、社会参画として様々な活動を行う女性達の学びの場・交流の場を作る活動をしています。2019年に一般社団法人となり、2019年・2020年は北海道の事業を委託。</t>
  </si>
  <si>
    <t>2015年から2018年まで、毎年開催したセミナーやイベントでは、延べ500名前後の女性が参加。2019年のセミナーやイベントでは、年間で延べ1000名程の女性が参加。2020年は、セミナー（オンライン含む）やイベントに700名程が参加。自主開催のセミナーやイベントの他　札幌市共催事業（女性応援festa)や、北海道受託事業（アクションHIROBA）北海道立女性プラザ共催イベント（つながる・みつかるフェスタ）</t>
  </si>
  <si>
    <t>代表　柴田　伸俊</t>
  </si>
  <si>
    <t>桑園公園ほか、札幌市中央区桑園地域</t>
  </si>
  <si>
    <t>近年の再開発による人口の急増で既存の環境が激変している桑園地区において、健全な子育てができる外遊びの環境が減りつつあり、近隣の住民が交流できる場も失われつつある。_x000D_
そのため、健全な子育て環境を保障するとともに、近隣住民が交流できる環境となる常設の外遊び場を創出することを目的にしている。</t>
  </si>
  <si>
    <t>外遊びの実施（「あそびば桑園」など）_x000D_
　・・・子どもの自由な外遊び活動を応援する環境を公園や路上などに設営して、活動する。_x000D_
札幌市のプレーパーク推進事業なども活用する。_x000D_
外遊びの啓発活動（ワークショップや研修の実施）_x000D_
　・・・遊びの意義を広めたり、技能を深める活動を行う。_x000D_
外遊びの実態や意識調査_x000D_
　・・・北海道大学などの機関と提携し、外遊び環境や意識に関する実態を調査する。</t>
  </si>
  <si>
    <t>あそびば桑園（平成３１年度５回、令和２年度６回）　※主に桑園公園にて実施。_x000D_
桑園ご近所みちあそび（平成３１年度）　※ミニ大通お散歩まつり内の車両通行止め区間で実施。_x000D_
桑園こどもDAY（平成３１年度、令和２年度）　※桑園地域内の各店舗で実施。_x000D_
桑園あそびばサミット（平成３１年度）　※市立札幌大通高校の協力で実施。_x000D_
ちょこっと運動プロジェクト（平成３１年度、令和２年度）　※コロナ対応の外遊び支援として実施。_x000D_
桑園おさんぽ日和（令和２年度）　※桑園町内４０箇所の協力で実施。</t>
  </si>
  <si>
    <t>代表　大越　龍幸</t>
  </si>
  <si>
    <t>札幌市南区藤野地区</t>
  </si>
  <si>
    <t>令和03年04月</t>
  </si>
  <si>
    <t>令和02年10月</t>
  </si>
  <si>
    <t>私達の願い目的は、お花を通して「命・美の心の一層の涵養」「自然や周りの人達との心豊かなふれあいや感性」「命を育てる体験」等の『美育』を充実していきたいと思います。心豊かな人間性の向上と心身ともに健康な町づくりのために花を通して「児童の感性を働かせ作りだす喜びを味わい生活を美しく心が豊かになる」「介護が必要なお年寄りの方が一輪挿しの花のプレゼントにより心豊かに、健康になっていただく」ことを目的に考えております。この願いを理解する全ての方々と共に子ども達の未来を共有し、近き将来の希望ある日本を構築する人材の育成に取組みたいと考えております。</t>
  </si>
  <si>
    <t>藤野地区の３小学校（藤の沢小学校、藤野南小学校、藤野小学校）で総合学習の授業の中で、一挿しを二つ作成し、一つは施設に住む高齢者の皆様にメッセージと共にお届け致します。一輪挿しをお渡しする前に、児童が笛を吹いたり、歌を歌ったり、ゲームをして交流致します。子ども達と高齢者の心が一つになってから一輪挿しをお渡し致します。一輪挿しを手にした高齢者の中には涙を流し喜ぶ方も何人かおられます。その姿を見た子ども達は、自分達が行ったことで、こんなに喜んでくれたと感動します。その気持ちを感想文に書いてくれる子が何人もいます。もう一つは、それぞれの子ども達が家に持ち帰り、食卓テーブルの上などに飾り、一輪の花の美しさを家族と一緒に観賞し愛でる。会話のある明るい家庭が多く築かれることを願っております。この活動は地域の民生児童委員、単町の町内会長、藤野地区青少年育成委員、その他にこの活動を理解する方々で実施しております。</t>
  </si>
  <si>
    <t>平成２９年から３年間、南区藤野地区青少年育成委員会で活動していた取組みです。令和２年はコロナによる長期休校の影響を受け実施出来ませんでした。それを経緯に青少年育成委員会から我々の団体が引き継ごうと、三小学校の校長先生に確認致しましたところ、「実施団体が変わろうとも、この授業（年間の総合学習になっている）は続けたい」とのお返事を頂き、令和３年４月に正式に発足致しました。当初は９月に実施予定でありましたが、「緊急事態宣言」が９月末日まで延期され、１１月に変更し実施致しましたが、施設に子ども達が訪問する事は出来ず、子ども達の作った「一輪挿し」は私達が届ける事になりました。しかし、広報紙に記載されている感想文を読むと、この活動に関わった全員が「この活動の意義」を感じたと確信しております。</t>
  </si>
  <si>
    <t>会長　千田　理枝子</t>
  </si>
  <si>
    <t>厚別区民センター</t>
  </si>
  <si>
    <t>平成04年08月</t>
  </si>
  <si>
    <t>平成04年06月</t>
  </si>
  <si>
    <t>点訳の学習を通して会員の教養を高め、会員相互の交流と親睦を図ると共に、視覚障がい者の方々のために点訳活動を行う。より多くの点訳者を育成し、点訳ボランティア活動拡大による社会貢献。</t>
  </si>
  <si>
    <t>・ 週に１回の例会を開催し図書及び資料などの点訳を行うと共に、見学・体験も随時受付し、点訳技術の修得とボランティア活動参加の機会を提供。_x000D_
・ 点訳技術の向上に関わる研修会開催。_x000D_
・ 北海道札幌視覚支援学校へ毎年当サークルの点訳本寄贈。_x000D_
・ 区内小・中学校や厚別区からの依頼（厚別区高齢者教室瑞穂大学）からの依頼を受け、視覚障がい者への理解を深める啓蒙活動及び点字体験教室の開催協力。_x000D_
・ 会員相互の交流を図るための懇親会開催。</t>
  </si>
  <si>
    <t>・ 北海道札幌視覚支援学校へ毎月低学年向け配布用点訳童話寄贈。_x000D_
・ 北海道札幌視覚支援学校「すずらん文庫」へ点訳本寄贈。_x000D_
・ 毎月『広報あつべつ（『広報さっぽろ』の厚別区版）』点訳、希望者への寄贈。_x000D_
・ NBN(名古屋点訳ネットワーク)へ点訳データのアップロード。_x000D_
・ 点訳研修会開催。_x000D_
・ ２０１０（H２２）年札幌市福祉ボランティア貢献賞受賞、２０１７（H２９）年北海道知事表彰（北海道社会貢献賞　地域活動推進功労者）拝受、２０１９（R１）年厚生労働大臣表彰（ボランティア功労者）拝受</t>
  </si>
  <si>
    <t>代表　綿谷　千春</t>
  </si>
  <si>
    <t>市内小児がん拠点病院の小児病棟</t>
  </si>
  <si>
    <t>令和02年12月</t>
  </si>
  <si>
    <t>難病の治療のために長期入院中の子どもとその家族、また退院後に外来で治療を受けながら難病と共存し生活する子どもとその家族をサポートし、家庭の福祉に寄与することを目的としています。</t>
  </si>
  <si>
    <t>市内の小児がん拠点病院の小児病棟の付き添い家族の方へ、無添加のレトルト食品やフリーズドライ食品の差し入れ、手づくりのあたたかいお弁当や焼き立てパンの無償提供。_x000D_
また、お子さんが退院してからの付き添い家族への体や心のサポートケアを無償提供しています。</t>
  </si>
  <si>
    <t>・2021年2月より、北海道大学大学院小児病棟へ無添加食品のレトルト食品とフリーズドライ食品_x000D_
の差し入れ開始。続いて、北楡病院小児病棟、こどもっくるへ同差し入れ開始。こちらは3-4ヶ月に_x000D_
一度のペースでお送りしています。_x000D_
・2021年5月からは、北大病院小児病棟に、市内こだわり飲食店の手づくり弁当の無償配布開始。_x000D_
月に6-8回お届けしています。</t>
  </si>
  <si>
    <t>代表　今　美早</t>
  </si>
  <si>
    <t>南区・豊平区・中央区</t>
  </si>
  <si>
    <t>令和02年02月</t>
  </si>
  <si>
    <t>現代社会の子育てのしにくさや、核家族化での問題を少しでも改善できるように下記目的で活動を行います。_x000D_
①子育てママの応援_x000D_
②子育てママのストレス解消・孤独感緩和_x000D_
③地域コミュニティの活性化_x000D_
④親子のコミュ二ケーションの時間と場所を提供_x000D_
⑤新型コロナウイルスの影響で減ってしまった動きたい赤ちゃん世代の遊び場の提供</t>
  </si>
  <si>
    <t>ママを笑顔にすることにより、安心して子育てをできるようになるためイベント企画・運営を行う。_x000D_
子育てでの悩みや不安を改善するための情報収集を行い、SNSを使って発信を行い子育てのしやすい環境を整えていく。子育ての実体験を元にした札幌の子連れ情報や札幌の情報も発信し、地域の良さや交流を活性化していく。_x000D_
ベビーマッサージ・peetapetaartⓇ・性教育・食育講座の講師活動。_x000D_
その他ママとお子様を笑顔にするために楽しめると思ったことを企画・運営していく。</t>
  </si>
  <si>
    <t>2021年活動実績_x000D_
▶2月24日（水）・3月3日（水）　　CoCoペタひなまつり　@リラコワ_x000D_
▶ 4月26日（月）　　無料ベビマオンラインイベント　＠オンライン開催_x000D_
▶ 5月  7日（金）　　ちょこっとベビマ×こどもの日ペタペタアート　＠COCOスペース　　　▶5月14日（金）　　#札幌ママと繋がりたい（COCOスペース×さっぽろキッズイベンターCoCo共催）＠COCOスペース_x000D_
▶6月  4日（金）・8日（火）・11日（金）・14日（月）・15日（火）　　父の日ペタペタアート×紙刺繍ワークショップ　＠COCOスペース_x000D_
▶7月  2日（金）・5日（月）     ベビマ×ペタペタアートワークショップ　＠COCOスペース　　　　 ▶ 7月19日（月）　　ママの為のお金の教室 @オンライン開催_x000D_
▶7月20日（火）・26日（月）　　COCOスペース de 水遊び×ペタペタアート　＠COCOスペース_x000D_
▶9月  6日（月）・10日（金）　　敬老の日ペタペタアートワークショップ　＠COCOスペース_x000D_
▶10月  1日（金）　　ママの学級会～幼稚園保育園どうする？～　＠サツドラ北８条++ROOM　　　▶10月  5日（火）　　#札幌ママと繋がりたい　＠COCOスペース_x000D_
▶10月20日（水）・28日（木）　　CoCoHalloween　＠サツドラ北８条++ROOM_x000D_
▶11月  8日（月）　　ママの学級会～北海道の冬どうする？～　＠サツドラ北８条++ROOM　　▶11月12日（金）・16日（火）・26日（金）・29日（月）　　CoCoペタトートバッグ作り_x000D_
▶12月  7日（火）・21日（火）　　CoCoとおんがくといっしょクリスマス　　　　　　　▶12月  8日（水）　　ママの学級会～プチベビマ付き～　＠サツドラ北８条++ROOM_x000D_
▶12月17日（金）　　CoCoペタカレンダーorクリスマス　＠サツドラ北８条++ROOM</t>
  </si>
  <si>
    <t>会長　岡元　敦司</t>
  </si>
  <si>
    <t>札幌市・北広島市・東京都</t>
  </si>
  <si>
    <t>芸術文化の振興および発展に関わる実践、新人支援、音楽教育を目的とし、地域に密着した音楽文化普及のために、会員と共に情報を共有し、幅広い年代の音楽家が活動できるように公演の場を作り、新人育成を目的としています。</t>
  </si>
  <si>
    <t>札幌市内において、広く芸術・文化の分野において市民活動を活性化させるため、市内を中心に活躍する新人演奏家とプロ演奏家によるオペラ公演等の演奏会を実施しています。新人育成を兼ねた企画として、国内外で活躍する外部講師を招き、ワークショップや共同練習をしながら、地域を担う新人歌手と舞台に携わる活動を行い、これからの札幌市におけるオペラ公演を担える人材を育成し、芸術文化の振興及び発展のために、わかりやすく楽しめるオペラや演奏会作りを目指しています。</t>
  </si>
  <si>
    <t>40年の歴史を持った野ばら合唱団は現在活動を終了していますが、北広島少年少女合唱団の運営を引き継ぎ、子供たちの歌える場を提供しています。また音楽愛好家による大切な人に贈るコンサートを2015年より実施、”オペラってこんなに楽しい”を掲げて、オペラ『スザンナの秘密』大樹町・札幌市・東京都公演（2018年9月）、オペラ「リタ」（2016年10月）オペラ『電話』（2017年6月）を実施しました。現在はミトペラ！として運営委員会を発足させ、小規模なオペラ公演を企画しています。その他ミトプロバロッコ（ミトプロムジカバロッコ）を立ち上げ、札幌市の高等教育機関における音楽科学生らの活動の場を広げた無料コンサート等の企画をしています。</t>
  </si>
  <si>
    <t>令和03年01月</t>
  </si>
  <si>
    <t>令和02年03月</t>
  </si>
  <si>
    <t>新型コロナウイルス感染防止の為、国から頂いた布マスクを解いて再利用し、不織布マスクで肌荒れを起こす子どもたち、ご高齢者をはじめ札幌市民を感染から守る為に「よりそいますKuガーゼマスクカバー」を制作し、国からの布マスクをガーゼマスクカバーの口元にあたる面に使用し、表は子供用に可愛いい柄、大人用には素敵な柄を購入して制作、衛生的に役立つガーゼ布巾ハンカチも制作し、市内イベントやご希望の札幌市民に無料で配布しお役立て頂く。異年齢母さんたち手つくりの愛が感染防止対策を活性化させ、感染者0を目指す命を守る目的とする。</t>
  </si>
  <si>
    <t>ものつくりを通し、異年齢が参加し、身近な人を助け共に生きるために、今必要な感染対策で、国から頂いた布マスクを解いて活かし、新しい柄入りのガーゼや生地を購入し、よりそいますKuガーゼマスクカバーを月400枚、1年間で4800枚制作。その他衛生に役立つものとして、国から頂いた布マスクのガーゼを5枚重ね、刺し子糸でふちをかがったガーゼ布巾ハンカチを制作し無料配布。月2回作業所（豊平区平岸5条3丁目）で製作、梱包、配送を行い感染対策に努めてまいります。</t>
  </si>
  <si>
    <t>令和2年3月14日活動開始。世の中のマスク不足時、ご高齢者、小さなお子さまを持つご家族、札幌市民に喜ばれる。新入学前のお母さまに「ガーゼマスク3枚入りキット」を作り子どもたちのマスク不足に役立つ。令和3年1月1日「よりそいますKu」団体設立。幼稚園、保育園、保育者、交通遺児、他に無料配布し今も継続。</t>
  </si>
  <si>
    <t>代表理事　牧原　百合江</t>
  </si>
  <si>
    <t>札幌市内や全国（オンライン含む）</t>
  </si>
  <si>
    <t>平成23年12月</t>
  </si>
  <si>
    <t>複雑化する自然環境及び社会環境の諸問題の根本的な解決と、持続可能な社会発展の実現を目指し、サステナビリティ（持続可能性）と参加型リーダーシップのための市民教育・社会教育を行う。_x000D_
局所的な取組みではなく環境を一つのシステムとして捉えるためのシステム思考と、多様な人々が対話し協働するためにホールシステムアプローチを採用し（開かれた話し合いの場を持ち）、学習と実践の場を提供する。</t>
  </si>
  <si>
    <t>・持続可能な社会を実現するための知識・認識に関する教育_x000D_
・人と人が関係を構築し協働していくための枠組み・仕組みの共有手法の普及・推進_x000D_
・未来戦略及びアクションプランの策定支援_x000D_
・包括的かつ戦略的な環境問題への取組み方法の紹介・コンサルティング_x000D_
・対話と協働の枠組みを用いた、対話型組織開発領域の新しいファシリテーション</t>
  </si>
  <si>
    <t>・札幌市気候変動SDGsゼミワークショップ2020 (2020.8-2021.2)_オンライン連続講座_x000D_
・札幌市　環境教育　宇宙船地球号ミッション2021_x000D_
・さっぽろ　子ども特派員2020_x000D_
・じわくらSD基礎講座_オンライン連続講座_x000D_
・ふらの地域SD勉強会(小さな輪でゆっくり話すじわくら2days)_x000D_
・大手輸送機器メーカー人材育成講座（2021.9-12)_x000D_
・認定NPO法人かものはし_コミュニティビルディングゼミ(2021.8-12)_x000D_
・武蔵野大学環境システム学科公開講座「参加型リーダーシップ入門」企画、運営（オンライン、オ_x000D_
フラインハイブリッド）_x000D_
・Art of Hosting実践者ゼミ運営ほか</t>
  </si>
  <si>
    <t>実行委員長　柳谷　由美</t>
  </si>
  <si>
    <t>札幌市中央区南</t>
  </si>
  <si>
    <t>当団体は、札幌市にてLGBTパレードの開催を主な目的として活動しています。当団体で活動を通_x000D_
して目指すのは以下の三点です。_x000D_
①LGBTが隣人として存在していることの周知。_x000D_
②情報の発信と共有による当事者の自己肯定感の向上。_x000D_
③行政や企業、教育現場への働きかけによる、LGBTの存在を前提とした社会制度の構築。</t>
  </si>
  <si>
    <t>①LGBTパレードの開催（毎年9月）：札幌市中心部でのパレード更新及びステージイベント②関連_x000D_
イベントの開催（通年）：当事者同士あるいは当事者と関係者を含んだ交流イベント・講演会など③_x000D_
ガイドブックの発行と配布（LGBTに関する正確かつ肯定的な情報を広める手段として発行）</t>
  </si>
  <si>
    <t>●2018年度 会場：大通公園西6丁目、パレード行進：680名、総動員数延べ：2000名_x000D_
●2019年度 会場：歩行者天国（札幌市中央区南1条西2丁目～3丁目）、パレード行進：731名、総_x000D_
動員数：延べ7000名_x000D_
●2020年度 会場：大通公園西10丁目、パレード行進：340名（新型コロナウイルスの影響を考慮し_x000D_
人数制限のうえ開催しオンライン配信も実施）_x000D_
●2021年度 会場：オンライン＆大通公園、YouTube視聴者数：4687名、パレード行進：約30名</t>
  </si>
  <si>
    <t>代表　城井　峻佑</t>
  </si>
  <si>
    <t>これまで北海道大学（以下北大）で祭が行われていなかった冬季にライトアップイベントを行って一面の雪_x000D_
景色に囲まれた美しい北大の姿を広く伝えるべく設立。また、雪でできた遊び場や屋台の運営など子供か_x000D_
ら大人までが楽しめる企画を実施することで、北大を市民の憩いの場としてなじみ深いものとし、市民の交_x000D_
流の発展に寄与することを目指す。</t>
  </si>
  <si>
    <t>北海道大学構内の中央ローン等のスペースで祭の運営を行う。_x000D_
・ライトアップ：LEDライトアップ、雪を用いた灯篭風モニュメントの設置。_x000D_
・雪像設置：動物などを模した雪像を建造。_x000D_
・プロジェクションマッピング：雪で壁を建造し、制作したプロジェクションマッピング映像を投影。_x000D_
・飲食屋台：おしるこ、豚汁等、来場者が暖をとれるような飲食物を提供するブースを運営。_x000D_
・遊び場：雪を用いた子供の遊び場を設置・管理。</t>
  </si>
  <si>
    <t>【第1回】_x000D_
新型コロナウイルス感染症拡大防止のため、2022年2月中の夜間に委員のみでライトアップを行った。その_x000D_
様子をYouTubeなど各種SNSに投稿予定。（YouTubeでの動画公開は2022年3月5日を予定）北大元気プロ_x000D_
ジェクト2021の採択企画の一つとして実施。</t>
  </si>
  <si>
    <t>代表理事　山口　真規子</t>
  </si>
  <si>
    <t>主に子育て世代の母親を対象にし、親子で楽しめる場所や、子育て中でも学べたり挑戦したりする場を提供する。_x000D_
育児の楽しさや辛さを共感できる仲間づくりのきっかけを提供することで孤立化しがちな育児中の支援をする。_x000D_
子連れでのイベントをすることでは同世代の子ども同士の交流や地域全体で育児しやすり環境をつくる。</t>
  </si>
  <si>
    <t>数人程度の小さな交流会から年に数回行う100人規模のイベントまで、幅広い規模と内容のイベント企画を行っています。どれも自身も子育て中の母親が主体となって企画し、当事者目線で母親と子どもとが楽しめるコンテンツを考えています。また、オンラインコミュニティの主宰やオンラインイベントの開催など、最近ではオンラインでの活動も増えています。子育て世代を対象にした様々なテーマ（子育て、絵本、カフェ、マイホームなど）の冊子の自費出版も行っており、累計２万部を発行しました。今年度には気軽に集える場としてリアルの場作りをしたりと、オンラインとオフラインの両方で相互作用できるような様々な取り組みを行っていきます。</t>
  </si>
  <si>
    <t>平成24年５月　親子向けイベントhappy mama’s life開催　以後、happy mama’s〜とタイトルをつけた親子向けイベントを札幌で10回開催_x000D_
令和２年　子連れで行けるカフェの紹介本「くつろぎおやこカフェ2020」を自費出版_x000D_
令和３年　０〜２歳の子育てママ向け情報誌「ぽろままスタートブック」を自費出版、札幌市内の全保健センターにて配布_x000D_
→令和３年はオンライン含め100回以上のイベントを開催し、延べ2100人を動員した(別紙：事業報告参照）</t>
  </si>
  <si>
    <t>代表　山内　太郎</t>
  </si>
  <si>
    <t>札幌市中心部</t>
  </si>
  <si>
    <t>平成11年11月</t>
  </si>
  <si>
    <t>北海道大学の授業の一環として行われた野宿社への予備調査の際に「発見」されたホームレスの人たちに対して、何かできることはないだろうかという思いから支援活動が開始され、継続的な活動を行うために組織化が必要であるとの考えから設立された。</t>
  </si>
  <si>
    <t>軽食料の配布や炊き出し情報などの周知を行いながら市街地を回る「夜回り」、食料・日用品・衣類などの配布を行う「炊き出し」、その他個別具体な生活困窮のケースに対しての支援（例；生活保護申請の同伴など）の活動を行なっております。ホームレス支援という分野においては、札幌市において最も長く活動を行なっている団体の一つです。</t>
  </si>
  <si>
    <t>令和3年度　　　　北海道民医連・司法書士会とも連携しつつ計7回の炊き出しを実施　　　　　　　　　　　　　　　令和3年　１１月　ホームレスの実態に関する全国調査（生活実態調査）について受託を受け実施　　　　　　　　　　　　　　　　　　　　　　　　　　　　　　　　　　　　　　　　　　　　　　　　　　　　　　　　　　　　　　　　令和4年　１月　　ホームレスの実態に関する全国調査（概数調査）について受託を受け実施　　　　　　　　　　　　　令和4年度　　　　北海道民医連・司法書士会とも連携しつつ炊き出しを毎月実施</t>
  </si>
  <si>
    <t>理事長　牧野　和恵</t>
  </si>
  <si>
    <t>札幌市南区、札幌市内</t>
  </si>
  <si>
    <t>平成30年05月</t>
  </si>
  <si>
    <t>当法人は、障がい児者、高齢者及び、引きこもり・不登校状態にある子ども、若者への訪問支援を基盤としつつ、学習支援及び、居場所を設置することで、生き活きした「生活」を営んでいくために必要な事業を行い、「居てくれるだけでいい存在」、「孤独にならない地域福祉」を目指します。_x000D_
不登校や引きこもり、特性や障がいがあっても、困っている人を助けたい、人の役に立ちたい、学びたい、働きたいという気持ちを持つ人が集まり、思いに共感できる気持ちを持つ人が増えることで、自分自身で置き去りにならない、誰も置き去りにならない、しない地域社会を目指し、情報発信のアンテナショップを開くことで、自己選択できる居場所で、それぞれの幸せを追及するために、支援者も支援を受ける方もお互いの尊厳を大切にしながら対等な立場で地域社会の一員として活躍できる場を提供する。</t>
  </si>
  <si>
    <t>共育方針_x000D_
人としての豊かな知性を養い、没頭体験や自由な行動から、グローバル化に対応できる基礎的な力を育成する共育を目指す。_x000D_
共育の指針_x000D_
1.AI教師による学習ツールを使用し多様な個性を伸ばしていく。_x000D_
2.子どもの学びの環境をより快適にし、新たな可能性を拓く。_x000D_
3.自ら学ぶことを見つけ、自分の五感を使い深めることで、自由な創意や希望をもてる共育の場を提供いたします。_x000D_
主な対象者：不登校、登校しぶり等で学校に通えていない、小学生・中学生。（定員10名）_x000D_
対象地域：札幌市（※札幌以外の地域の方もご相談に応じますが、ご希望に添えない場合もございます。）_x000D_
学習方法_x000D_
当学院では無学年式教材を使用した個別学習を実施しております。_x000D_
・オンライン家庭教師（WEBシステムを利用して自宅にて個別学習をいたします）_x000D_
・フリースペース学習（当法人のフリースペースにて個別学習をいたします。　　　　　※ご本人の希望やご家族の希望により選択することが可能です。</t>
  </si>
  <si>
    <t>①訪問支援R2.1～開始。_x000D_
アクションプランや、アプローチ(訪問相談、メール・電話相談・情報提供)、学校へ行けなくても引きこもりでも「居てくれるだけでいい」環境の支援、勉強を学ぶことができる仕組みを確立する。訪問型支援を中心に子ども、親のサポートをしていくプラットホーム的機関である。段階を踏んで、訪問相談、訪問支援、移動支援、学習支援等を導入していける活動をJANPIA(眠り貯金)助成金を頂くR.2．1～R3．2活動。_x000D_
②居場所提供_x000D_
不登校、引きこもりの児童、者が居てくれるだけでいい存在価値を認めている支援者が身近にいる居場所で、学習支援、外出支援、野外活動、季節行事を楽しめる。生き活きできる居場所を開始R3．1.11～開始。_x000D_
③引きこもりの状態でも学べる、活動(企業へのインターンシップ)できる機能を持つ、「課題解決型情報センター」を設立準備R4．4～開始予定。</t>
  </si>
  <si>
    <t>団長　三好　宏樹</t>
  </si>
  <si>
    <t>当団体は札幌市に住む知的障がい者（成人）を中心として組織され、知的障がいを持った青年が生涯にわたって学びあえる場として、また芸術活動を通して社会参加する場として設立され、市民の障がい者理解に寄与することを目的に活動している。</t>
  </si>
  <si>
    <t>週１回の演劇レッスン。_x000D_
内容_x000D_
　発生訓練_x000D_
　コミュニケーションゲーム_x000D_
　詩の朗読_x000D_
　演劇レッスン</t>
  </si>
  <si>
    <t>2019年10月　第１回公演　札幌国際交流館リフレサッポロ　ライラックホール_x000D_
2020年11月　第2回公演　札幌国際交流館リフレサッポロ　ライラックホールにてVTR収録_x000D_
2021年9月　第3回公演　札幌サンピアザ劇場</t>
  </si>
  <si>
    <t>理事長　三上　富弘</t>
  </si>
  <si>
    <t>札幌市内及び近隣の大学（医療系学部）等</t>
  </si>
  <si>
    <t>令和04年03月</t>
  </si>
  <si>
    <t>この法人は、医療従事者、医療系学生及び一般人に対して、模擬患者（Simulated Patient, あるいはStandardized Patient。以下、「SP」という。）による学習機会を提供する事業を行うとともに、SPを養成し派遣する事業を行い、多様化する医療ニーズに応える医療従事者の養成に関与し、もって公共の利益の増進に寄与することを目的とする。</t>
  </si>
  <si>
    <t>(1)　SPの育成及び教育並びに認定に関する事業_x000D_
(2)　SPの派遣に関する事業_x000D_
(3)　医療コミュニケーションに係る研修の実施_x000D_
(4)　SP及び医療コミュニケーションの普及啓発に関する事業_x000D_
(5)　会報誌の発行に関する事業_x000D_
(6)　SPの勉強会及び交流会の実施_x000D_
(7)　前各号に附帯関連する一切の事業</t>
  </si>
  <si>
    <t>平成17年10月より現在に至るまで毎年2回　北海道医療大学歯学部において4年生の授業に参加
_x000D_
平成18年2月より毎年1回　北海道医療大学歯学部において臨床試験に参加
_x000D_
平成18年より　北海道医療大学薬学部において授業に参加、その後同大学看護福祉学部、リハビリテーション科学部でも授業に参加</t>
  </si>
  <si>
    <t>隊長　川崎　淳一</t>
  </si>
  <si>
    <t>札幌市南区</t>
  </si>
  <si>
    <t>令和03年06月</t>
  </si>
  <si>
    <t>１ 札幌市南区澄川という地域を自然環境の視点から捉え直すことで、地域に対する興味・関心を高め、澄川への関係人口を増やす。_x000D_
2 直接自然体験の機会を創出し、老役男女問わず多様な参加者が自然を介して対話する機会を設けることで、 自然に対する情操を育むことに加え、人との繋がりを実感する環境づくりを進める。_x000D_
3 自然環境に関する調査・分析を行うことで、生態学等に関して学術的な整理を進める。</t>
  </si>
  <si>
    <t>１ 澄川地区を中心としたフィールドの定期的な生態調査・自然観望会_x000D_
2 環境教育に関するアクティビティ・ワークショップ_x000D_
3 その他、前項の目的を達成するための事業</t>
  </si>
  <si>
    <t>令和3年度活動_x000D_
　4月　トライアルvol.1：紅櫻公園を散策しよう！（参加人数：18名）_x000D_
　5月　トライアルvol.2：紅櫻公園を散策しよう！（参加人数：18名）_x000D_
　6月　捕虫トレーニング〜トンボをとろう〜（参加人数：12名）_x000D_
　7月　捕虫トレーニング＆クワカブ痕跡探し（参加人数：20名）・すみかわホタル捜索隊2021（参加人数：30名）_x000D_
　8月　すみかわむしとり合宿（参加人数：3名）・カラスアゲハは紅櫻にいるのか？（参加人数：16名）_x000D_
 10月　秋の紅櫻、いきものの冬越し戦略！（参加人数：11名）_x000D_
令和4年活動_x000D_
　4月　令和4年度新隊員募集のためのトライアル自然観望会_x000D_
　5月　前田一歩園財団財団からの助成金を獲得・ネイチャービンゴプログラム</t>
  </si>
  <si>
    <t>代表理事　前川　英紀</t>
  </si>
  <si>
    <t>令和04年04月</t>
  </si>
  <si>
    <t>令和03年02月</t>
  </si>
  <si>
    <t>この法人は、広く青少年に対して、スポーツに関わる子どもたちの指導育成に関する事業を行い、環境に捉われることのないスポーツを学べる環境を作り出し、子どもたちの体力及び運動能力の向上を図り，地域のスポーツ振興と青少年健全育成に寄与することを目的とする。</t>
  </si>
  <si>
    <t>現在は年々、競技人口が減少傾向の少年野球に特化し活性化活動を行なっている。_x000D_
地域の連盟や少年野球団、親御様へのリサーチを行い、具体的に細分化、子どもたちが興味関心を持ちやすい環境、継続したい環境づくりを目指している。今後、様々な大会の実施、イベント活動、オンラインを使った個別のマンツーマン指導なども取り入れ、地域全体で子どもたちを支られる環境をつくっていくよう、努めてまいります。</t>
  </si>
  <si>
    <t>令和３年_x000D_
３月　市民活動するべく情報発信及び交流することを目的とするホームページを開設_x000D_
５月　当法人の活動をPRするチラシを制作_x000D_
12月　イベント企画立案の為、NPB12球団ジュニアトーナメント大会視察（横浜市）_x000D_
令和4年_x000D_
3月　市民活動団体の情報発信能力の向上を目的とした第１回講習会を開催_x000D_
5月　北海度ガス株式会社様との共同でのイベント企画（SUNYONBASEBALL大会）発足_x000D_
6月　札幌市軟式少年野球連盟様及びスポーツ協会へのイベント企画後援</t>
  </si>
  <si>
    <t>理事長　宮西　雅子</t>
  </si>
  <si>
    <t>　この法人は、飼い主から逸走した家庭動物の捜索支援事業を通じて、動物愛護と動物福祉の啓発活動を目的とし、地域社会における動物保護の理解及び地域安全の活動、災害時における動物救助、家庭動物の適正飼育・終生飼養を育てる活動、逸走した家庭動物の情報ネットワークシステムを構築・情報受発信の機会を実現することにより、動物の生命の尊厳が守られ、人間と動物が互いに安心して共生できる社会に取り組むことを寄与する。</t>
  </si>
  <si>
    <t>　逸走した家庭動物の捜索支援活動を中心に、逸走した家庭動物の情報発信・周知、情報収集を一元管理することで、的確な情報提供を飼い主に支援することができ、また家庭動物の逸走防止を含む適正な飼育に関する啓発活動、逸走した家庭動物の捜索中に迷い犬・猫を保護・治療後里親に譲渡する支援活動、自然災害における動物の救護活動などを通じて、動物愛護の普及啓発と人と動物が共に暮らす地域社会を目指します。</t>
  </si>
  <si>
    <t>　当法人は、飼い主から逸走した家庭動物の捜索支援ができるように、当法人のホームページ及びSNSの作成による活動の周知・捜索支援のボランティアスタッフ確保・捜索に必要な備品購入など、飼い主から逸走した家庭動物(犬猫)の捜索に必要な準備を整えた。初年度は飼い主から逸走した家庭動物の捜索依頼もあり、飼い主の不安に寄り添う意識を忘れず捜索支援に取り組みました。家族の一員である犬猫が保護されて、飼い主に返還したときの安心した飼い主の笑顔は捜索支援の意義と原動力となった。_x000D_
　一方で、捜索中に飼い主のいない犬猫を保護する機会もあり、犬猫を取り巻く地域課題に直面することとなった。_x000D_
　逸走した家庭動物の捜索を専門とする活動を継続することで、飼い主の責務である適正飼育・終生飼養の啓発活動に繋がり、一人でも多くの市民に周知いたします。</t>
  </si>
  <si>
    <t>理事長　小山内　美智子</t>
  </si>
  <si>
    <t>昭和52年01月</t>
  </si>
  <si>
    <t>障がいのある人や高齢などで介護等の福祉サービスが必要な人に対し、引き続き地域で暮らし続けることが出来るよう、基本的な権利を擁護し、必要な介護サービス等が提供されるよう支援するとともに、介護の質を向上させ、障がいのある人と障がいのない人がともに支え合い共生する社会を築くための啓発活動を行い、これら人々の福祉の増進及び人権の擁護に寄与することを目的とする。</t>
  </si>
  <si>
    <t>障がい者の社会参加と地域生活移行を進め、障がい者の地域生活による自立を目指す目的で、活動を続けております。_x000D_
具体的には、障がいをもつ相談員による、地域での自立生活を進めるための相談支援をおこない、また年に数回、障がい当事者や幅広いジャンルの方々をお招きし、講演会や勉強会を主催しております。_x000D_
その他、障がい当事者やその周りの方たちの夢や社会に対する矛盾点、困り事などを自由につづる「いちご通信」という会報を年3回発行しております。</t>
  </si>
  <si>
    <t>昭和56年11月　北海道に、道立美術館の障がい者無料化を要求し、実現_x000D_
_x000D_
昭和57年 ５月　いちご会要望により、札幌市地下鉄東西線白石駅、琴似駅に第一号エレベーターを設置_x000D_
平成10年10月　スウェーデンより脳性マヒの起業家　ベンクト・エルメンさん一行を招き、講演会「これからのヘルパー制度を考える」開催_x000D_
平成12年 ５月 身体に障がいを持つ人が自立生活体験ができる施設「社会福祉法人アンビシャス」開設_x000D_
平成28年 ８月　居宅介護、重度訪問介護を行う居宅・介護事業「ヘルパーステーションいちご」を開所_x000D_
12月 読売福祉文化賞を受賞_x000D_
平成29年 １月　40周年記念講演会「札幌の40年の福祉を語る」に元札幌市長　上田文雄氏を講師に招く</t>
  </si>
  <si>
    <t>代表理事　運上　佳江</t>
  </si>
  <si>
    <t>札幌市全域、石狩市一部</t>
  </si>
  <si>
    <t>平成29年01月</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</si>
  <si>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</si>
  <si>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●１：ソルウェイズの第一歩「重症児デイサービス」_x000D_
2017年4月に医療的ケア児、重症児に特化した「重症児デイサービス」（児童発達支援・放課後等デイサービス）を開設しました。毎年１か所ずつ開設し、札幌市内のどの区および石狩市からも利用児を受けられる体制をつくってきました。_x000D_
●２：障がい児から障がい者になることを見据えた「生活介護」_x000D_
いつまでも子どもの成長発達をご家族とともに喜び、それが年齢で途切れる支援にならぬようにと、成人後も通うことのできる生活介護事業所を開設しました。_x000D_
●３：在宅生活を支援する「居宅介護」「訪問看護」_x000D_
近年の新生児医療の発展に伴い、重い障がいがある赤ちゃんも年々数が増えていますが、その子どもたちもいつかは「児」から「者」となり、高齢化していきます。0歳から看取りまでの在宅支援も必要であると考え、居宅介護事業所や訪問看護ステーションも開設しました。</t>
  </si>
  <si>
    <t>2017年1月	特定非営利活動法人ソルウェイズ設立_x000D_
2017年4月	重症児デイサービス ソルキッズ宮の沢（児童発達支援・放課後デイ）開設_x000D_
2018年6月	重症児デイサービス ソルキッズが中央区へ移転_x000D_
2019年8月	多機能型重症児者デイサービス モアナ_x000D_
（児童発達支援・放課後等デイ・生活介護）北区新琴似に開設_x000D_
2020年3月	重症児デイサービス リノキッズ_x000D_
（児童発達支援・放課後等デイ）南区澄川に開設_x000D_
2020年4月	重症児デイサービス あいキッズ_x000D_
（児童発達支援・放課後等デイ）石狩と合併_x000D_
2020年8月	居宅介護事業所 リマ_x000D_
2021年8月	訪問看護ステーション あみえる開設_x000D_
2021年8月	居宅訪問型児童発達支援 バンビ開設_x000D_
2021年9月	重症児デイサービス ラナキッズ_x000D_
（児童発達支援・放課後等デイ）北区新琴似に開設家族支援イベントの実施_x000D_
2022年12月　　保育所等訪問支援　シンバ　開設_x000D_
●在宅介護をしている母親、きょうだい児向けの交流イベント　_x000D_
ハピネスマーケット他　/年1回の開催_x000D_
●重症児デイサービス立ち上げ支援_x000D_
全道数か所</t>
  </si>
  <si>
    <t>代表理事　高橋　亜由美</t>
  </si>
  <si>
    <t>令和03年07月</t>
  </si>
  <si>
    <t>この法人は、医療福祉分野の有資格者、そのサポートが必要な方々(障がい児者、持病 のある方、高齢者、介護者、妊娠・育児中の方、被災者、その方々が対象となっている団体・法 人等)、医療福祉分野の資格取得予定者に対し、オンライン・オフラインを問わず必要な支援を 企画・運営する事業を行い、医療福祉関連事業と地域づくりに寄与することを目的とする。</t>
  </si>
  <si>
    <t>(1)医療福祉分野の有資格者とそのサポートが必要な方々に対するプラットフォームの開発・ 運営事業 (2)医療福祉分野の有資格者とそのサポートが必要な方々に対するイベント・セミナー・研修 等の企画・運営  (3)医療福祉分野の有資格者とそのサポートが必要な方々に対する情報提供・情報発信  (4)上記(1)のプラットフォームの対象者と地域社会とのつながりを作る事業  (5)医療福祉関連の学生との連携  (6)医療福祉分野の有資格者とそのサポートが必要な方々に対する調査・研究・出版等  (7)医療福祉分野の有資格者への支援事業  (8)医療福祉分野のサポートが必要な人への支援事業  (9)医療福祉分野の有資格者とそのサポートが必要な方々に対して、商品やソフトウェアの企 画・開発・製造・販売 (10)前各号の事業に付帯する事業</t>
  </si>
  <si>
    <t>2021年7月法人設立_x000D_
2021年8月1日「さぽんて」β版リリース_x000D_
2022年5月から「ココカラ～ココロもカラダも健康に～」「ココカラ保健室」「介護が必要になる前に知っておこうセミナー」を札幌市内で開催。</t>
  </si>
  <si>
    <t>会長　廣田　凱則</t>
  </si>
  <si>
    <t>昭和35年06月</t>
  </si>
  <si>
    <t>原爆資料館を開設運営すると共に、北海道内に居住する原爆被爆者（２世、３世を含む以下「被爆者」という。）及びその家族への援護対策の推進、その他必要な援護対策を行い、あわせて再び核戦争の惨禍を繰り返さないための努力を通じて、被爆者・国民の平和に寄与することを目的とする。</t>
  </si>
  <si>
    <t>①被爆者とその家族への援護施策の推進と被爆者慰霊事業_x000D_
②ノーモア・ヒバクシャ会館に原爆資料を展示し平和に寄与する。_x000D_
③こどもや若者、市民・道民に被爆体験を語り伝える。_x000D_
④再び被爆者をつくらないために核兵器廃絶の取り組みを進める。_x000D_
⑤ホームページ、ツイッター等で活動を紹介し平和のメッセージを届ける</t>
  </si>
  <si>
    <t>1960年　北海道被爆者団体協議会(北海道被爆者協会の前身)結成_x000D_
1964年　全道9か所で特別健康診断(460名受診)。被爆者相談事業、今日まで続く。_x000D_
1965年　原爆死没者北海道慰霊祭(今日の追悼会)始まる。今日まで続く。_x000D_
1985年　札幌で中央相談所講習会開催、今日まで続く。_x000D_
1988年　『被爆者の証言』第１集発刊。2016年に第4集発刊。_x000D_
1992年　北海道ノーモア・ヒバクシャ会館竣工、翌年からオープン。_x000D_
2003年　原爆症認定求め集団訴訟(2010年勝訴)_x000D_
2017年　ヒバクシャ国際署名始まる(～2020年)_x000D_
この間、被爆証言、原爆パネル展等に数多く取り組む。2021年絵本完成・HPアップ</t>
  </si>
  <si>
    <t>代表理事　五嶋　耀祥</t>
  </si>
  <si>
    <t>札幌市・苫小牧内全域及び全国・全道</t>
  </si>
  <si>
    <t>北欧及び諸外国の福祉の視点から家族支援についての知見を集め、その普及とイノベーション実践により、少子高齢化の課題解決に貢献する妊娠期からの切れ目ない家族支援、並びに、地域共生社会の実現に寄与することを目的とする。</t>
  </si>
  <si>
    <t>フィンランドネウボラの理念に沿った草の根的な取組として、地域において予め各家庭と顔の見える関係を構築し、困り事が起きた際にいち早くそれを発見し、支援に繋げる体制を創ることを目的に、家族支援のための知識を持ち、対話的手法に基づくコミュニケーションで支援を実践できる「人」の養成、並びに、当団体を中心とした各連携団体との「ネットワーク」により、各会員（養成した支援員）が地域で把握したニーズに応える事業をプロジェクト化し、企画段階から横断的かつ実践的な体制づくりを速やかに行えるよう支援する事業の実施。</t>
  </si>
  <si>
    <t>・ファミリーTookie©認定資格「地域サポーター」、「サポーター」、「インストラクター」養成講座の開催（2021年地域サポーター養成講座3回、サポーター講座1回、インストラクター講座1回）_x000D_
・ファミリーTookie©有資格者であるファミリー支援員による、子どもと保護者・その家族を対象にした、子育てにおける相談・支援事業（相談事業受託１社、賛助会員であるNPO北海道ネウボラからの相談、接続先への連携）</t>
  </si>
  <si>
    <t>代表　柳田　双美</t>
  </si>
  <si>
    <t>令和03年03月</t>
  </si>
  <si>
    <t>学校給食をよりよくする活動を行うことにより、子どもを健やかな成長に導く環境を創る事を目指し、また、食育などによる伝統文化の継承、異世代間の交流をはかり、子育てのしやすい健全な地域社会を形成することを目的としています。また農と食に関連する環境教育の推進を図り、持続可能な食と環境を子供たちの未来に残すことを目標にしています。すべての子どもたちの健康と笑顔、そして、より豊かな食の選択肢を未来に残したい。その思いが私たちの活動の原動力です</t>
  </si>
  <si>
    <t>子どもたちにより良い未来をつなぐエシカル給食の実現を目指し、行政など関係各所との協働を目標に活動、また、エシカル消費の普及のため、お話し会や講演会、ワークショップなどを開催、農業体験会なども開催しています。</t>
  </si>
  <si>
    <t>R3年_x000D_
3月24日　ナチュラルスクールランチアクションさっぽろ設立_x000D_
4月20日　北海道有機農業協同組合ヒアリング・意見交換会_x000D_
4月27日　札幌市教育委員会保健給食課訪問・意見交換会_x000D_
5月19日　札幌市内小学校栄養教諭との面談・意見交換会_x000D_
5月28日　NSLA北海道ホームページ開設_x000D_
　　　　   NSLA北海道ロゴおよび「ほっキュン♡」の発表_x000D_
6月  1日　北海道農政部食の安全推進局ヒアリング（リモート）_x000D_
6月12日　北海道食の自給ネットワークヒアリング（リモート）_x000D_
6月23日    衆議院議員和田義明氏との意見交換会（リモート） _x000D_
6月25日　札幌市内自然農家を訪問・農業体験会_x000D_
　　　　　於：ときの森衣食住_x000D_
7月６日　北海道農政部食の安全推進局訪問・意見交換会_x000D_
8月５日　岩元美智彦氏講演会を開催_x000D_
　　　　　『ペットボトルの未来・子どもたちの未来』_x000D_
　　　　　於：スタジオPONO_x000D_
　　　　   共催：NPO法人SDGｓ村北海道_x000D_
8月28日　工藤勇一氏講演会を開催_x000D_
　　　　　『子どもたちが生きる力をつけるために親が出来ること』_x000D_
　　　　　於：オンライン_x000D_
9月17日　オーガニックライフスタイルEXPO_x000D_
　　　　　  『地域を支えるオーガニック_x000D_
　　　　　        ～SDGｓ時代の学校給食』セミナー_x000D_
　　　　　主催：一般社団法人オーガニックフォーラムジャパン_x000D_
　　　　　活動団体としてメッセージ動画出演_x000D_
10月７日　札幌市環境局訪問・意見交換会_x000D_
10月19日　札幌市教育委員会給食課訪問・意見交換会_x000D_
10月26日　北海道農政部食の安全推進局訪問・意見交換会_x000D_
12月10日　NSLA『給食活動シェア会』開催　　  於：オンライン_x000D_
12月15日　札幌市環境局主催_x000D_
    ＆23日　  『企業×ユースによるSDGｓ協働ワークショップ』に参加_x000D_
R4年_x000D_
1月  9日　『エシカル給食』の普及推進をスタート_x000D_
1月15日　北海道有機農業推進計画(第四期)素案へのパブリックコメント提出_x000D_
2月15日　第三回北海道食の安全安心委員会　傍聴参加　レポート発表_x000D_
2月17日　工藤りえ氏セミナー開催_x000D_
　　　　　『みそ玉作りとミネラル講座』_x000D_
　　　　　於：エシカルストア プラナシスタⓇ_x000D_
4月19日　尾形優子氏セミナー_x000D_
　　　　　『オーガニック講座』と『みつろうラップ作りワークショップ』開催_x000D_
　　　　　於：エシカルストア プラナシスタⓇ_x000D_
5月19日　『エシカルお話し会』『みつろうラップ作りワークショップ』開催_x000D_
　　　　　於：エシカルストア プラナシスタⓇ_x000D_
6月14日　安平町訪問_x000D_
　　　　　無何有の郷農園・はやきた子ども園にてヒアリング・意見交換会_x000D_
6月15日　『こどもと地球のみらいフェス』実行委員会発足_x000D_
6月16日　『エシカルお話し会』『アロマカトリ作りワークショップ』開催_x000D_
　　　　　於：エシカルストア プラナシスタⓇ_x000D_
6月23日　NSLAオーガニック勉強会（全三回・6/23・7/8・7/14）開催_x000D_
　　　　　講師：佐藤錬氏（犬山オーガニックビレッジ代表）　於：オンライン_x000D_
7月21日　『エシカルお話し会』『畑で土いじり』開催　於：当会員家庭菜園_x000D_
7月22日　北海道農政事務所訪問・意見交換会_x000D_
9月18日　『こどもマルシェ』共催、理想の給食べんとうの販売　於：エシカルストア プラナシスタⓇ_x000D_
11月26日　『こどもと地球のみらいフェス』開催　於：カミニシヴィレッジ_x000D_
他、月に一度のNSLAさっぽろ定期井戸端会議（感染状況によ￥りリモート開催）_x000D_
1～2月に一度のペースで市議会議員さんとの面談など</t>
  </si>
  <si>
    <t>理事長　畠山　美咲</t>
  </si>
  <si>
    <t>札幌市内全域、石狩管内</t>
  </si>
  <si>
    <t>令和03年10月</t>
  </si>
  <si>
    <t>子どもと子どもの育ちに関わる人々や団体に対し、 子どもの居場所づくり等推進事業を行うなど、全ての子どもとその保護者が豊かに生きる社会の実現を目指し、子どもの健全育成及び福祉の増進に寄与することを目的とする。</t>
  </si>
  <si>
    <t>○子どもを対象とした運動教室の運営や石狩川等の自然を活用した環境教育事業を実施(任意団体時)〇R4.９より、子ども向け運動教室を開校。○R4.11より、新型コロナウイルス感染症や物価高騰等に窮する子育て世帯を支援するため、　イオン北海道株式会社と連携し、子ども食堂の設置・運営○今後は、子ども食堂だけではなく、子どもの「学習支援」や「多世代交流」など、様々な活動を経験　できる場の提供(子どもの居場所づくり)やフードバンクの併設など、困窮者を対象とした事業を実施予定</t>
  </si>
  <si>
    <t>【任意団体活動時～(空知地域を中心)】　平成26年　　～　子どもを対象とした運動教室の運営、石狩川等の自然を活用した環境教育事業の運営_x000D_
【NPO法人設立時～】　令和４年９月～　江別市大麻小学校体育館に子ども向けの運動教室を開設(江別市共催事業)　　　　　　11月～　イオン北海道株式会社と連携し、マックスバリュ北１条東店内に子ども食堂を開設 (札幌市補助事業・共催事業)</t>
  </si>
  <si>
    <t>理事長　齋藤　大介</t>
  </si>
  <si>
    <t>札幌市豊平区平岸</t>
  </si>
  <si>
    <t>令和03年12月</t>
  </si>
  <si>
    <t>この法人は、学校や社会で生きづらさを感じている子どもや若者たちが、孤立せず、自分の人生を創造できるよう、こころのこもった助け合いおよび相談援助・学習支援・就労支援・コミュニティーづくりに関する事業を行い、子どもや若者たちが安心して健やかに暮らせる地域社会づくりと社会の連帯に寄与することを目的とする。</t>
  </si>
  <si>
    <t>①　子どもや若者の仲間づくり事業_x000D_
②　無料・低額の学習支援事業・不登校のサポート事業_x000D_
③　不登校・孤立・ひきこもりに関する相談援助事業_x000D_
④　子ども食堂事業_x000D_
⑤　不登校等の子供を抱える保護会主催_x000D_
⑥　地域の助け合い活動</t>
  </si>
  <si>
    <t>2021年12月法人設立準備・活動計画等作成_x000D_
2022年4月特定非営利活動法人Sapporo Youth Creation設立_x000D_
2022年5月無料・低額の学習サポート開始_x000D_
2022年6月不登校サポート開始・子どもと保護者が参加できるバドミントンサークル開始_x000D_
2022年8月不登校等の子どもを抱える保護者会開催_x000D_
2022年11月子ども食堂と無料学習サポート開始</t>
  </si>
  <si>
    <t>代表理事　能瀬　眞奈美</t>
  </si>
  <si>
    <t>札幌市清田区全域</t>
  </si>
  <si>
    <t>令和04年01月</t>
  </si>
  <si>
    <t>清田区はすぐ身近に豊かな自然がたくさんあります。それが当たり前と思っていた以前は気づかなかったすばらしさをもっと多くの人たちと一緒に味わいながら暮らしたい。できることなら、清田区の良さをもっと磨いていけないだろうか。_x000D_
そんな想いから「自然と調和してすべての人が気持ちよく暮らせるまちづくり」をすすめたいと、小さな団体「きよたKAZEラボ」を立ち上げました。</t>
  </si>
  <si>
    <t>上記目的のため、以下の４つのテーマに沿ったまちづくりを進める活動を行っております。_x000D_
①自然と調和して暮らすための空間／ルールづくり_x000D_
②いつの間にか健康になるまちづくり_x000D_
③快適生活に必要なエネルギーの地産地消の推進_x000D_
④地域協働による多様なエコ・モビリティの確保_x000D_
また、犬の散歩途中で、おしゃべりに花を咲かせたり、ちょっと本を読んだりできるよう、事務所の一部を「DOGS &amp; BOOKS」としてオープンし、動物、自然、札幌＆清田区の自然に関する本などを揃えて貸出もしています。</t>
  </si>
  <si>
    <t>令和4年5月 区内に残る貴重な自然であるアオサギとイオンの森市民観察会を実施_x000D_
  　 6～7月 市民キツネ目撃調査を清田区内を中心に実施_x000D_
     6～9月 「さっぽろ生き物さがし」に参加　(5年1月に写真コンテストで4位入賞)_x000D_
        7月 清田区里塚・美しが丘地区センターで 「キツネとエキノコックス」講演会を実施_x000D_
        8月 「イオンの森」で森の中で好きなことを叫ぶ「森でシャウト」を実施_x000D_
       11月 「餌付けを止めよう」啓発Tシャツを制作し、有料配布を開始_x000D_
       11月 札幌市私立保育連盟厚別区会研修会で「キツネとエキノコックス」講演会を実施_x000D_
令和5年1月 イオンモール札幌平岡主催の「自由研究応援企画」に参加</t>
  </si>
  <si>
    <t>代表　伊藤　凜</t>
  </si>
  <si>
    <t>令和04年02月</t>
  </si>
  <si>
    <t>日本において、年間約522万トンもの量となる、まだ食べられるにも拘わらず廃棄される食品（食品ロス）などの食品の寄付を集め、それをより多くの札幌市民、特に生活に困窮している子どもに届くように、廃棄する企業と地域貢献活動を行う団体を繋ぎ、橋渡しをすること</t>
  </si>
  <si>
    <t>北海道大学生活協同組合（北大生協）の店舗で廃棄される食品（食品ロス）を公益財団法人さっぽろ青少年女性活動協会（SYAA）が運営している学習支援事業の会場に届ける</t>
  </si>
  <si>
    <t>令和４年11月25日、札幌まなびのサポート事業まなべぇの実施会場でフードバンク活動を実施。毎週金曜日（ただし提供元および提供先の営業日に準ずる）の令和４年12月２、９、16、23日、令和５年１月６、13、20、27日、２月３、10、17日に同様の活動を実施。</t>
  </si>
  <si>
    <t>理事長　南谷　晴之</t>
  </si>
  <si>
    <t>平成12年11月</t>
  </si>
  <si>
    <t>入院治療を受ける患者と、その家族(小児がん等の難病患者をはじめとする入院患者家族）を経済的並びに精神的に支援することを目的としています。</t>
  </si>
  <si>
    <t>（1）援助及び支援活動  _x000D_
　　入院治療を受ける患者と、その家族を支援するため、病院の隣接地区にあるファミリーハウス（賃貸住宅や協力ホテル）の情報をガイドブックにまとめホームページで発信しています。_x000D_
（2）ファミリーハウスの設置及び運営_x000D_
　　２０１９年７月から小児患者家族専用施設の運営を開始し、貸住宅をファミリーハウスとして提供している大家への支援活動を継続的しています。_x000D_
（3）道民に理解を求める広報活動_x000D_
　　ファミリーハウス運動を道民に紹介する活動をしています。</t>
  </si>
  <si>
    <t>２０１9年７月から小児患者家族専用施設「しろくまハウス」の運営を開始し、２０２1年６月からは２室で運用をしています。ホームページやSNSを通し、施設情報（ガイドブック）や活動状況を発信しています。コロナ感染禍中のため、小児病棟の入院治療中の子ども達とは接することが出来なくなり、イベントは休止しておりますが、クリスマスプレゼントを通し、子ども達への支援活動を継続し、今年度は３病院へ寄贈しました。当会の活動に賛同頂いている企業からのご協力を頂いております。</t>
  </si>
  <si>
    <t>実行委員長　木村 健太郎</t>
  </si>
  <si>
    <t>札幌市内の商業施設・各地イベント会場</t>
  </si>
  <si>
    <t>令和元年5月31日に公布された「食品ロスの削減の推進に関する法律」(略称:食品ロス削減推進法)が10月1日から施行され、10月は「食品ロス削減月間」、10月30日は「食品ロス削減の日」と定められました。 一次産業のフラッグシップである北海道だからこそ、食品ロスをどこよりも意識して、生産者の想いを知り、食に関わる全ての人に対する理解を深めてほしい。そして環境問題の現状を 知ってほしい。そんな想いで今回「フードロスミュージアム」を開催する事に致しました。</t>
  </si>
  <si>
    <t>①食品ロス削減防止の啓蒙を行うパネルブース_x000D_
SDGs、食品ロスに関するアカデミックパネルの展示 _x000D_
農家の現状を知ってもらう為の農家紹介パネルの展示 _x000D_
②規格外野菜を持ち帰ってもらう お野菜ブース_x000D_
食品ロスや農家の現状を学んでもらい、規格外となってしまった理由も知った上で、 規格外となった野菜を持ち帰って貰う 。_x000D_
③SDGｓに関わる取組を行う企業の紹介ブース _x000D_
エシカルグッズ販売の店舗やアップサイクルの店舗、企業にブース展開していただき食品ロスやごみの削減について理解を深めながらお買い物をもらう。_x000D_
④食育のワークショップブース_x000D_
ハガキに、農家さんへの応援メッセージを描いてもらうワークショップ や実際に野菜を選んで、ロスが出ないように夕食のメニューを考えてみるワークショップなど</t>
  </si>
  <si>
    <t>2021.10.29~31 　フードロスミュージアムEZO＠札幌(Pivot5F)​　来場者：495名​_x000D_
2022.6.4~5 　フードロスミュージアム＠北大祭（北海道大学）​_x000D_
2022.7.2~10 　フードロスミュージアムYOKOHAMA＠横浜(アソビル1F・2F)​　来場者521名​_x000D_
2022.7.30 　フードロスミュージアム＠子ども食堂夏祭り(新ことに西会館駐車場）​_x000D_
2022.8.11~14 　フードロスミュージアムEZO＠札幌(アリオ札幌ハーベストコート）​来場者972名​_x000D_
2022.8.20 　フードロスミュージアム＠アスアスラボ(小樽ドリームビーチ)​_x000D_
2022.10.15~16 　フードロスミュージアム＠大阪​Fujii Kaze LOVE ALL SERVE ALL STADIUM LIVE（パナソニックスタジアム吹田)​　来場者3,945名​_x000D_
2022.12.8 　フードロスミュージアム＠アトリエはるか(表参道ヒルズ)​</t>
  </si>
  <si>
    <t>理事長　乳井　直人</t>
  </si>
  <si>
    <t>大通公園、地下鉄大通駅、札幌駅等</t>
  </si>
  <si>
    <t>平成30年12月</t>
  </si>
  <si>
    <t>この法人は、障害者、高齢者、路上生活者、触法者等が、地域で自立して生活できるような、生活支援に関する事業及び、犯罪被害者と被害者家族・遺族、犯罪加害者家族に対する必要な支援に関する事業を行い、もって社会福祉の充実及びまちづくりの推進に寄与することを目的とする。</t>
  </si>
  <si>
    <t>私たちは障がい者、高齢者、路上生活者、触法者等の生活困窮者や社会的に孤立している方たちに対して、地域で自立して生活できるような支援を行っております。_x000D_
主な活動として、住居の確保等の支援、夜回り活動、食事の無償提供(炊き出しや弁当の配布)等を定期的に行っております。その他にも相談支援事業所としての活動も行っております。</t>
  </si>
  <si>
    <t>・障がい者、高齢者、路上生活者、触法者等に対する自立支援活動事業_x000D_
・路上生活者への声がけのための夜回り活動(毎月１回程度)_x000D_
・食事の無償提供(１週間に２回程度)_x000D_
・相談室つむぐ（指定特定相談支援事業所・指定一般相談支援事業所(地域移行支援)・指定一般相談支援事業所(地域定着支援)・指定障害児相談支援事業所）での、利用者への相談支援活動</t>
  </si>
  <si>
    <t>代表　高木　翔成</t>
  </si>
  <si>
    <t>札幌市北区、中央区</t>
  </si>
  <si>
    <t>令和03年08月</t>
  </si>
  <si>
    <t>学生が高齢者等に対して日常生活を支援する活動（事業）を行うことにより、高齢者の生活支援と支え合いの地域づくりの推進に資すること。</t>
  </si>
  <si>
    <t>有償ボランティアとして生活支援サービスを行っている。窓ふき、おしゃべり、病院の付き添い、庭掃除、重たい家具の移動、雪かき、スマホの操作支援など。「NPO法人ふまねっと」が開催しているイチゴ教室（孤立予防を目的とした健康づくりと子どもとの交流の場づくり）にも協力し、週に1回、子どもの学習支援と高齢者と子供の交流の場の支援をしている。_x000D_
現在学生メンバー80名　北海道大学、札幌医科大学、北海学園大学、小樽商科大学など</t>
  </si>
  <si>
    <t>2021年_x000D_
8月　学生団体wacco発足_x000D_
8月～11月　市内各地域の介護福祉施設や地域包括支援センターの管理者へのインタビューを実施_x000D_
12月 NPO法人シーズネット協力のもと、約10件のプレサービスを実施（介護新聞に記事が掲載）_x000D_
2022年1月～12月 高齢者宅へ訪問し、日常生活援助やレクリエーション活動を実施（1月に北海道新聞に記事が掲載）_x000D_
2022年_x000D_
2月～4月　南区第３地域包括支援センターと合同で、真駒内地区の高齢者支援活動を実施（4月にNHK北海道で放映）_x000D_
3月　老人ホームでのレクリエーション活動を実施_x000D_
STARTUP CITY SAPPORO主催のプロジェクトに参加、最優秀賞受賞_x000D_
6月　市内各地域の地域包括支援センターと協力して活動（東区包括支援センターだより掲載）_x000D_
9月～12月　NPO法人ふまねっと・NPO法人シーズネットと合同でWAM助成のもと活動（９月に北海道新聞に記事が掲載）_x000D_
11月　株式会社ＵＲコミュニティと合同でスマホ教室を開催_x000D_
生活クラブ福祉基金報告集会に登壇_x000D_
12月　NPO法人ふまねっと・子ども食堂 どんぐりっこと合同で、高齢世代と子世代をつなぐ料理教室を開催_x000D_
累計160件以上の依頼を受けこたえてきた</t>
  </si>
  <si>
    <t>理事長　原　大輔</t>
  </si>
  <si>
    <t>令和03年09月</t>
  </si>
  <si>
    <t>　この法人は、国内外問わず、広く青少年を対象とし、芸術・音楽団体運営事業、芸術・音楽に関する教育・研究事業を通じて、青少年の人間性を鍛え、生活の質・人生の質が向上、健康で心豊かな社会の実現に寄与することを目的とする。</t>
  </si>
  <si>
    <t>・マーチングバンドのクラブチーム「THE COOL ROSES」：「マーチング界のメジャーリーグ」と言われるDrum Corps International(以下DCI)やマーチングの世界では近年最も成長著しいイベントと言われるWinter Guard nternational(以下WGI)に、大学の進学を諦めてプレカリアートでアメリカのクラブチームに飛び込んでいく日本の子供たちが日本で教育機関に所属しながら出場し世界一にチャレンジするためのマーチングバンドの運営業務。メンバーの対象は、15歳から21歳までの青少年です。_x000D_
・小中学生のためのジュニアマーチングバンドのクラブチーム「The cool roses Jr.」：少子化が叫ばれてひさしい中、子供たちが楽器にふれる機会が減っています。そんな子供たちにその機会をつくりたいとの想いから創設したジュニア・マーチングバンドの運営業務。メンバーの対象は、小学3年_x000D_
生から中学3年生までの青少年です。_x000D_
・「THE CR WORKS」：ジャパン・ドリーム・アーツが提供する教育プログラムおよびイベント運営業務。主に、少子化により、楽器にふれる機会が減っています。そんな子供たちのために、その機会をつくりたいとの想いから「小中学生のための無料楽器体験会」を定期的に開催しています。金管_x000D_
楽器と打楽器だけではなく、旗などでマーチングに華を添えるカラーガードの体験が出来ます。</t>
  </si>
  <si>
    <t>・総額1,200万円以上になる全ての楽器を、少子化により使わなくなった学校からお借りすることが 出来、現在リペアし使わせて頂いています。 ・少子化により、楽器にふれる機会が減る子供たちに、その機会をつくりたいとの想いから無料で ご参加頂ける「小中学生のための無料楽器体験会」を2022年9月～10月にわたって4回開催し、の べ15組35名のご家族にご参加頂きました。2023年は1月に2回開催しのべ14組34名のご家族にご 参加頂きました。 _x000D_
・上記の「小中学生のための無料楽器体験会」を開催したことで、子供たちが夢を見られる場所、 夢中になれる事を探していると実感したことから『小中学生のためのジュニアマーチングバンドのク ラブチーム「THE COOL ROSES Jr.」』を2022年10月に創設し、2023年3月にオープンする北海道日 本ハムファイターズの新球場でのお披露目演奏と単独演奏会開催を目標に現在活動中です。</t>
  </si>
  <si>
    <t>代表理事　中谷　衣里</t>
  </si>
  <si>
    <t>平成24年03月</t>
  </si>
  <si>
    <t>この法人は、レズビアンや多様な女性たちを中心とした、性的マイノリティに対して情報交換や連携をとり、個人、法人又は団体への活動支援を行い、性的マイノリティに関する正確な知識と情報の普及に取り組み、社会的な差別や偏見の解消を通じて、多様な女性と性的マイノリティが自由と権利を獲得し社会全体の利益の増進に寄与することを目的とする。</t>
  </si>
  <si>
    <t>　「LGBTQ+の当事者が自己肯定しながら生きやすい社会を作る」ことを目的に当事者向けのオン/オフライン両輪支援と、活動から蓄積されたデータや当事者の声を活用し、当事者周囲のキーパーソンへ向けた啓発活動を行っている。具体的には、_x000D_
①オンライン支援：若年層LGBTQ向けセクシュアリティ専門SNS(LINE)相談「にじいろtalk-talk」_x000D_
②オフライン支援：リソースセンター併設型少人数制居場所「にじいろ談話室」_x000D_
③教育機関や行政機関を対象とした性の多様性についてLGBTQ当事者が伝える出張授業、以上３つの事業を実施している。</t>
  </si>
  <si>
    <t>①オンライン支援についてはセクシュアリティの専門的な知識を備えた相談員が毎月2回LINEで相談を開設し支援を行い、年に1度の実績報告会を市民向けに行っている。_x000D_
②オフライン支援はピアサポートの視点を重視しながら、札幌市内各区の区民センター並びに札幌エルプラザを会場に月1回居場所とリソースセンター(書籍や他団体のパンフレットからセクシュアリティに関する肯定的な情報を得られる場所)の開設を行っている。_x000D_
③出張授業についても、教育機関や行政機関側からのニーズがあれば出前授業のほか、LGBTQ当事者が悩みを抱える学生向けに個別面談を行うなど臨機応変に活動を行っている。</t>
  </si>
  <si>
    <t>理事長　吉川　淳也</t>
  </si>
  <si>
    <t>地域に暮らす全ての人々が幸せで自分らしい生活が送ることが出来るよう、障がい児・障がい者・高齢者・児童等への支援事業、福祉人材育成事業、研修事業を行い、人権を擁護することを基礎とし、住み慣れた地域で安心して暮らせる人にやさしいまちづくりの発達に寄与することを目的とする。</t>
  </si>
  <si>
    <t>◆障害児通所支援事業として児童発達支援・放課後等デイサービス「愛ちゃんち」シリーズで（札幌市内４か所）【作業、理学、言語聴覚士を配置し、機能訓練に注力した発達の支援と重度心身障がい児も対象とし、医療的ケア児専門の通所支援事業所も運営】◆一般相談・特定相談・障がい児相談支援事業◆自立生活援助事業◆生活介護事業所を運営◆ＮＰＯ事業として二十四軒みんなの食堂「ごはん」（子どもから高齢者まで誰でも利用できる地域食堂）：フードバンクいころ・子ども食堂ネットワーク北海道などの協力を得て、貧困・障がい・片親・高齢・共働き世帯も含めた支援活動</t>
  </si>
  <si>
    <t>◆平成29年5月　児童発達支援、放課後等デイサービス　愛ちゃん家開設_x000D_
◆平成31年2月　児童発達支援、放課後デイサービス　愛ちゃんの家開設_x000D_
◆令和 1年 8月　一般相談、特定相談、障害児相談支援　相談室　あい　開室_x000D_
◆令和 2年 9月　二十四軒みんなの食堂開始（毎月第2土曜日昼/夜・第2金/第4木曜日夜：平均1回80食）◆令和 3年 9月　児童発達支援、放課後等デイサービス　愛ちゃんすぽっと開設_x000D_
◆令和 3年11月　重症心身障害児、児童発達支援、放課後等デイサービス　愛ちゃんのおうち開設_x000D_
◆令和 4年 3月　生活介護　愛ちゃん家新はっさむ開設_x000D_
◆令和 4年 9月　自立生活援助　あい　　開設</t>
  </si>
  <si>
    <t>会長　堀川　政司</t>
  </si>
  <si>
    <t>大通地区</t>
  </si>
  <si>
    <t>昭和37年02月</t>
  </si>
  <si>
    <t>大通地区住民の保健及び福祉の向上のために、保健及び福祉に関する地区内諸団体の推進母体となって地域住民の組織的活動の育成と促進を図り、もって健康で住みよい地域社会の建設に資することを目的とする。</t>
  </si>
  <si>
    <t>・高齢者・障がい者世帯の安否確認（お元気ですかコール）、ふれあい訪問_x000D_
・広報誌「お元気ですか？」の発行_x000D_
・子育てサロンの開催_x000D_
・研修会の開催_x000D_
・敬老会の開催_x000D_
・高齢者や子どもなど多世代が交流できるイベント開催</t>
  </si>
  <si>
    <t>毎月2回に分け、高齢者・障がい者への安否確認電話_x000D_
毎月1回　広報誌「お元気ですか？」の発行・配布_x000D_
毎月1回　子育てサロンを実施_x000D_
令和4年9月　コロナ感染拡大防止のため敬老会を中止し、対象者へ敬老祝品を配布_x000D_
令和5年2月21日　特殊詐欺防止のための研修会実施</t>
  </si>
  <si>
    <t>会長　金井　義幸　</t>
  </si>
  <si>
    <t>宮の森明和地区会館</t>
  </si>
  <si>
    <t>昭和46年04月</t>
  </si>
  <si>
    <t>盆踊りを通じて地域の伝統文化の継承を図るとともに、子どもから高齢者までの多世代交流を促進する。</t>
  </si>
  <si>
    <t>宮の森大倉山地区での盆踊りイベント（子ども仮装大会・盆踊り（子ども・大人））の開催</t>
  </si>
  <si>
    <t>地域での盆踊りの開催（令和元年８月）_x000D_
＊令和２年～令和４年は新型コロナ感染防止のため中止</t>
  </si>
  <si>
    <t>理事長　中島　明子</t>
  </si>
  <si>
    <t>この法人は、野生動物と「共存」できる環境づくり、生態系の保全そして次世代という未来へ「命」の尊さを学び伝える普及、啓発活動を行い、共存を目指すすべての人々と組織をつなぎ、その環境づくりのプラットフォームを構築する役割を担い、人と動物が安心して生きることができる持続可能な社会の創造に寄与することを目的とする。</t>
  </si>
  <si>
    <t>本活動は市民と共に「ヒグマを寄せ付けない街づくり」＝「ヒトとヒグマが共存できる環境」を目標とし、ヒグマ学習、ヒト起因の環境を作らない為の普及活動を実践します（ヒグマを理解する為の学習、ヒグマ検定の構築、ヒト要因の環境を作らない為の行動としての草刈り、ゴミ拾いの実践）。この普及活動のポイントは、今まで行政主体のヒグマ対策から、市民主体で自らが学習・実践することで、北海道の環境保全に対し「他人事」から「自分事」へ意識変化を促し、北海道の生物多様性保護と持続可能な環境保全に寄与出来るものです。</t>
  </si>
  <si>
    <t> 2021年4月～12月: ヒグマ対策オンライン配信_x000D_
 2021年8月～2022年3月: ヒグマミニセミナー実施_x000D_
 2021年7月～11月: ヒグマ学習、注意喚起動画制作_x000D_
 2021年12月～2023年1月: ヒグマに関わる道内ニュースをFacebookにて発信_x000D_
 2022年3月、4月、6月、9月: 注意喚起チラシ配布、ヒグマニュース、オンラインCM発信_x000D_
 2022年3月～10月: ヒグマ授業実施_x000D_
 2022年5月～9月ヒグマ用電気柵防除検証実施_x000D_
 2022年6月～9月: ベアスマートプロジェクト「ヒグマを近づけない街づくり」として、草刈り、ゴミ拾い実施</t>
  </si>
  <si>
    <t>理事　武田　雄太</t>
  </si>
  <si>
    <t>PLACE OF SPORTS NEO、新川中学校</t>
  </si>
  <si>
    <t>令和03年05月</t>
  </si>
  <si>
    <t>　北海道在住の小学生、中学生、高校生に対して、 ソフトテニスの選手育成と競技振興を行うとともに 、地域の住民にソフトテニスを通じた運動活動の場を提供し、ソフトテニス競技の振興・育成、地域住民の健康増進に寄与すること</t>
  </si>
  <si>
    <t>①ソフトテニスのスクール事業_x000D_
②ソフトテニスのクラブチーム運営事業_x000D_
③ソフトテニスの普及及び振興に関する事業_x000D_
④地域社会におけるソフトテニス行事の企画、運営事業</t>
  </si>
  <si>
    <t>法人設立と同時に、理事の武田が2021年より個人事業として行っていた、ソフトテニススクール事業を開始。2023年4月に中学生が所属可能なソフテニ道場クラブを設立。同月、札幌市教育委員会からの認可を受け、札幌市立新川中学校テニスコートを拠点として活動を開始する。</t>
  </si>
  <si>
    <t>実行委員長　小林　良二</t>
  </si>
  <si>
    <t>平成26年12月</t>
  </si>
  <si>
    <t>私たちおとなりSMILE実行委員会は、小児がんをはじめとした難病を患う子ども達やその家族の支援を目的に設立された団体です。_x000D_
小児病棟にクリスマスプレゼントを贈る活動の他、主催するイベント等を通じて子ども達や医療現場が直面している課題を市民の皆さんに発信し、理解と協力の輪を広げ解決に近づけていく活動をしています。</t>
  </si>
  <si>
    <t>小児病棟にクリスマスプレゼントやクリスマスカードを届けています。_x000D_
小児病棟に届けるクリスマスカードを市民が参加して作るイベント『クリスマスカードを作ろう』や、医療講演を組み込んだ音楽コンサート『ボクから君へのメッセージ』等を通じて子ども達や医療現場が直面している課題を市民の皆さんに発信し、理解と協力の輪を広げ解決に近づけていく活動をしています。_x000D_
また、小児患者の就学・就労にかかわる問題など特定の課題解決に向けて、病院と連携しての関係各所への働きかけたり、専門家を招いての勉強会を行ってメンバー自身の研鑽を深めています。</t>
  </si>
  <si>
    <t>●札幌市内の小児病棟へのクリスマスプレゼントとカードの贈呈（平成26年より毎年）。　　　　　　　　　　　　　　　　　　●主催イベント『クリスマスカードを作ろう』の開催（平成28年～令和元年）。_x000D_
●ステージ講演『ボクから君へのメッセージ』の開催（平成27年～令和元年）。_x000D_
●医療講演のWeb配信（令和2年～令和4年）。_x000D_
●高校生患者の院内学級の充実化に向けて、病院と連携しての関係各所への働きかけ。_x000D_
●医療現場の実状を知るための勉強会の実施。</t>
  </si>
  <si>
    <t>理事長　石森　直樹</t>
  </si>
  <si>
    <t>当法人は「超高齢社会での地域における医療・福祉専門職の連携を強化して、より良い医療サービスを享受できる社会基盤づくりに貢献する」ことを理念に掲げ設立されました。具体的には下記基本方針の実践を通じ、理念の達成を目指しています。　_x000D_
●心不全療養指導に関する知識・技能の修練を通じて、医療専門職種間の連携を強化し、タスク・シフト/シェアを推進します。_x000D_
●心不全に対する効果的な療養指導法の開発を目指し、入院加療から外来通院・在宅療養に至るまで、切れ目のないチーム医療を実践します。_x000D_
●社会啓蒙活動を通じて心不全の発症・進展の予防に努め、健康寿命の延伸に貢献します。</t>
  </si>
  <si>
    <t>現在の超高齢社会が直面しつつある「心不全パンデミック」による医療逼迫を回避するため、当法人では下記①～⑥を中心にこれまで活動してきました。今後は下記⑦の活動にも着手し（※）、市民に向けて広く啓蒙啓発活動を進めてゆく予定です。_x000D_
（※2023年11月18日、チ・カ・ホ［札幌駅前通地下広場］で心不全の啓蒙啓発に関する市民公開イベントを開催する予定）_x000D_
① 心不全療養指導に携わる人材の育成_x000D_
② 心不全療養指導の実践_x000D_
③ 心不全療養指導ツールの開発_x000D_
④ 心不全療養指導症例の検討・研究_x000D_
⑤ 心不全療養指導に関わる医療専門職種間のネットワーク確立を目指した教育及び広報活動_x000D_
⑥ 心不全療養に関する医療系学会、分科会その他の学術的な集会の開催、協賛、後援、他団体との共催_x000D_
⑦ 心不全療養に関する地域住民へのセミナー、講演会、研修会等の啓発活動</t>
  </si>
  <si>
    <t>平成31年４月　北海道大学大学院医学研究院に当法人の前身となる「心不全医薬連携開発学分野」が設置される医師(循環器専門医)１名と薬剤師５名が中心となり、心不全療養指導に関する対面勉強会開始（毎週火曜日）_x000D_
令和２年３月　 コロナ禍により対面形式の勉強会は一時休止_x000D_
令和２年７月　 オンライン形式で心不全療養指導に関する勉強会が再開される（第１・３火曜日、第１期講座として開催）_x000D_
令和３年12月　第１期講座終了、受講者３名が日本循環器学会認定「心不全療養指導士」資格試験を受験し全員合格_x000D_
令和４年１月　 第２期心不全療養指導実践講座がオンライン形式で開講、受講者は全国に拡大し13名となる_x000D_
令和４年９月　 NPO法人北海道心不全医療連携アカデミー設立（設立時社員16名）_x000D_
令和４年10月　当法人の心不全療養指導の推進に向けたこれまでの取組みを第26回日本心不全学会学術集会で報告_x000D_
令和５年１月　 当法人の運営で第３期心不全療養指導実践講座(オンライン形式)が開講、当法人社員は全国から65名となる_x000D_
令和５年３月　 当法人の心不全療養指導の推進に向けたその後の取組みを第87回日本循環器学会学術集会で報告</t>
  </si>
  <si>
    <t>代表　さくま　しほこ</t>
  </si>
  <si>
    <t>道内（特に札幌市）</t>
  </si>
  <si>
    <t>疾患を持って生きる子どもたちが自身の可能性を信じて成長をしていくことを願う。また疾患が何らかの障害にならない豊かな社会を望む。そのために小児膠原病患者やその家族同士が支え合うことを目的とする。また小児膠原病患者を取り巻く教育機関や社会と連携して活動していくことを目的とする。</t>
  </si>
  <si>
    <t>（1）オンライン交流会の実施。リアルでの交流会は今年度、初めて実施する予定。（2）患者やその家族に、疾患に関連したサポートをしていくれる個人や団体の紹介。（3）ＳＮＳやホームページの新着情報で新しい知識や情報をわかりやすく発信する。（4）今週に膠原病の子どもの知恵や工夫を伝える「膠原病の子どもと家族のためのページ」公開予定</t>
  </si>
  <si>
    <t>オンライン交流会の実施。参加者から「今まで孤独に頑張ってきたけれど、他の人にあえて話せて来てよかった。笑えるようになった。」と感想をもらっている。毎月実施している。_x000D_
小児慢性特定疾病の受付や相談窓口である道内保健所と札幌市内保健センターに当会のパンフレットを設置。_x000D_
SNSや電話で無料相談に応じている。_x000D_
2023.6月に道内小中高校の保健室に当会パンフレットを配布予定。_x000D_
2023.7月に道内小児科に当会パンフレットを配布予定。</t>
  </si>
  <si>
    <t>代表　長谷川　喜美江</t>
  </si>
  <si>
    <t>市内全域</t>
  </si>
  <si>
    <t>平成31年03月</t>
  </si>
  <si>
    <t>高齢になると、舌の筋肉が弱まり誤嚥性肺炎などになりやすいとの話を伺って、声を出す機会を作ろうとの思いで、うた倶楽部を作りました。「今日初めて会話した」などの声が寄せられることもあり、歌をうたうだけではなく、参加者同士で顔を合わせたり、交流することをとおし、健康に過ごせるように活動しています。</t>
  </si>
  <si>
    <t>毎月第一土曜日13時～14時半まで、童謡、なつかしい歌を大きな声で歌っています。</t>
  </si>
  <si>
    <t>毎月第一土曜日活動（声を出すため歌を歌う）</t>
  </si>
  <si>
    <t>理事長　奥田　龍人</t>
  </si>
  <si>
    <t>平成13年02月</t>
  </si>
  <si>
    <t>自立したシニア人生を安心して、豊かに過ごすためのグッドデザインをお互いの英知を結集して創造する活動団体です。私たち自身が自立して、主体的な生き方を目指すための「役割づくり」「仲間づくり」「居場所づくり」「支え合い」を中心とした事業を行っています。</t>
  </si>
  <si>
    <t>役割づくり事業→①森林づくり活動②市民公開講座活動③中国・樺太等帰国者支援事業④介護予防活動等ボランティアポイント事業⑤大通り公園花壇活動_x000D_
居場所づくり→①地域交流サロン事業②WEBサロン③脳活塾_x000D_
仲間づくり事業→各サークル活動_x000D_
支え合い事業→つながりワーカー養成研修</t>
  </si>
  <si>
    <t>【2022年度実績】役割づくり事業→①森林づくり活動（8回・延べ72人）②市民公開講座活動（4回・307人）③中国・樺太等帰国者支援事業（24回・延べ348人）④介護予防活動等ボランティアポイント事業（コロナウイルスの影響により中止）⑤大通り公園花壇活動（23回・延べ192人）_x000D_
居場所づくり事業→①地域交流サロン事業（149日・延べ1,211人）②WEBサロン（41回・延べ530人）③脳活塾（110回・1,212人）_x000D_
仲間づくり事業→各サークル活動（257回・延べ2,540人）_x000D_
支え合い事業→つながりワーカー養成研修（2023年度より開始）</t>
  </si>
  <si>
    <t>会長　前川　英紀</t>
  </si>
  <si>
    <t>札幌市厚別区全域</t>
  </si>
  <si>
    <t>この団体は、厚別地域の青少年に対して、少年野球に関する活動を行い、子どもたちの体力及び運動能力の向上を図り，地域のスポーツ振興と青少年健全育成に寄与することを目的とする。</t>
  </si>
  <si>
    <t>厚別区が白石区と分区となる前に厚別地区として少年野球の活動を行っており、野球人口が減少傾向の少年野球。_x000D_
その少年野球大会開催及びスポーツイベントに特化し活性化活動を行なっている。_x000D_
地域のスポーツ少年野球団に対して大会や子どもたち向けのスポーツイベントを実施している。今後も、地域全体で子どもたちを支られる環境をつくっていくよう、努めてまいります。</t>
  </si>
  <si>
    <t>令和4年　11月　札幌プリンスホテルにて納会_x000D_
令和5年　3月　　総会_x000D_
令和5年　4月　　厚別少年野球協議会総合開会式_x000D_
令和5年　5月　　KFC杯兼会長杯決勝戦　優勝：小野幌ライオンズ・準優勝厚別桜台パワーズ</t>
  </si>
  <si>
    <t>会長　すがの公</t>
  </si>
  <si>
    <t>札幌市内、日本全国、韓国、タイ</t>
  </si>
  <si>
    <t>平成16年10月</t>
  </si>
  <si>
    <t>我々は札幌から全国へ、演劇公演や映像製作を企画し上演している団体です。_x000D_
活動目的を「独自の演劇公演の模索と向上及び、地域演劇の活性化」としています。</t>
  </si>
  <si>
    <t>・演劇公演の企画、主催_x000D_
・映像製作の企画、主催_x000D_
主たる企画は車一台で日本全国を巡演する『全国縦断興行』、_x000D_
拠点である札幌で行う演劇公演『全体興行』、_x000D_
他に東京支部が主催する『小さい演劇祭シリーズ』などにも参加しています。_x000D_
近年は映像製作にも力を入れ、設立目的である『札幌から全国へ』を実現するため活動しています。</t>
  </si>
  <si>
    <t>2006年 2月　「東京国際芸術祭リージョナルシアターシリーズ」参加（『再演Ａ。』）_x000D_
2006年10月　巡業公演がはじまる（『サンタのうた』）_x000D_
2007年 2月　「こまばアゴラ劇場・冬のサミット2006」参加（『Ｂ計画』）_x000D_
2009年 3月　「若手演出家コンクール2008」優秀賞＆審査員特別賞受賞（『アイドゥ・アイドゥ』）_x000D_
2009年12月　札幌の人旗揚げ公演「カラクリヌード」_x000D_
2011年 5月　東京支部を別団体として発足（https://hamprotokyo.com/）_x000D_
2014年11月　韓国ソウル・テジョン演劇祭招聘（『カラクリヌード』）_x000D_
2015年12月　北海道戯曲賞最終選考（『戦うゾウの死ぬとき』）_x000D_
2016年 2月　「札幌演劇シーズン2016-冬」参加（『カラクリヌード』）_x000D_
2017年 5月　「第14回釜山国際演劇祭」参加（『カラクリヌード』）_x000D_
2017年10月　「韓国テジョン演劇祭」参加（『サンタのうた』）_x000D_
2019年5月　 『ルビコン河を渡る』東京OFFOFFシアター公演_x000D_
2021年10月　AAF戯曲賞一次通過（『象に釘』）_x000D_
2023年7月　「札幌演劇シーズン2023-夏」参加（『黄昏ジャイグルデイバ』）</t>
  </si>
  <si>
    <t>代表　小熊　悠大</t>
  </si>
  <si>
    <t>令和02年05月</t>
  </si>
  <si>
    <t>国際ロボットコンテスト「FIRST® Robotics Competiton（FRC）」への出場。また、アウトリーチ活動（地域貢献活動）を行い、様々な年代(主に北海道の小中高生）を対象としたワークショップやスピーチなどを通して、地域における科学教育の拡大を目的とする。</t>
  </si>
  <si>
    <t>　FIRST® Robotics Competition（FRC）といったロボットコンテストに向け、製作費や大会渡航費などの資金を一年かけて集め、大会までの約二か月間でロボットを作ります。また、大会期間ではない時期には、北海道の小中高生を主な対象として、ワークショップを開催する等のアウトリーチ活_x000D_
動を行い、Yukikaze TechnologyやFRCの存在を広めることで、ロボット技術やプログラミング教育への関心を伸ばしていきます。_x000D_
　今後は、北海道で新たなロボットチームが作られるときに、その設立の支援もしていきたいと思っています。_x000D_
　自分たちの技術を磨いていくのに加え、ロボットやプログラミングに関心のある子どもたちの興味や力を伸ばしていくことを旨とした活動に努めてまいります。</t>
  </si>
  <si>
    <t>令和2年　FRCチーム「Yukikaze Technology」結成_x000D_
令和3年　FRCチーム登録完了（チーム番号8853）_x000D_
令和4年　FRCハワイ地方大会「Regional Finalist」受賞_x000D_
　　　　　　FRCハワイ地方大会「Regional Rookie All Star Award」受賞_x000D_
　　　　　　FRCヒューストン世界大会（FIRST® Championship 2022）出場_x000D_
　　　　　　FGCジュネーブ大会(FIRST® Global Challenge 2022) 日本代表として出場_x000D_
　　　　　　NoMaps2022に出展_x000D_
　　　　　　JPW（ジュニアプログラミングワールド）2022に出展_x000D_
令和5年　FRC 2023 Hawaii Regional　出場</t>
  </si>
  <si>
    <t>代表　竹内　節子</t>
  </si>
  <si>
    <t>平成25年01月</t>
  </si>
  <si>
    <t>保育所に通う保護者の利便性の向上と保育所を運営している施設の困りごとをみんなで解決するために設立されました</t>
  </si>
  <si>
    <t>子を持つ保護者及び施設運営者の相談窓口設置</t>
  </si>
  <si>
    <t>札幌市子ども未来局への陳情、お互いの施設の悩みごとの相談など</t>
  </si>
  <si>
    <t>理事長兼北海道支部長　岡村　俊邦</t>
  </si>
  <si>
    <t>平成26年02月</t>
  </si>
  <si>
    <t>スイスでは、環境と林業経営の両立を目指す様々な樹種・樹齢が混交する自然に近い森づくりへの取組が進んでいる。北海道では、工事跡など人為的影響で裸地化した箇所への緑化方法として、生物多様性(種・遺伝子・生態系)保全の観点から、「生態学的混播・混稙法」を開発されてきた。当協会は、これらの森林管理・再生法の導入、開発を主導し、人為的な裸地や単一樹種の人工林を、様々な樹種が混交する生物多様性が高く、かつ、生態系サービスを豊に持続的に与えてくれる森林に再生し、管理する技術を移転することを使命としている。</t>
  </si>
  <si>
    <t>（１）近自然森づくりの理念に基づく森林の整備。_x000D_
（２）生態学的混播・混植法を用いた生物多様性の高い樹林の造成。　　　　　　　　　　　　　　　　　　　　　（３近自然森づくりと生態学的混播・混植法を用いたアイヌ文化を支えるイオルの森づくり</t>
  </si>
  <si>
    <t>（１）札幌市西区五天山公園での子供と作ろう種から育てるみんなの森活動。　　　　　　　　　　　　　　　　　　　（２）札幌市アイヌ文化交流センターでの「札幌イオルの森シンボルガーデン」の造成。　　　　　　　　　　　　　　（３）札幌市豊平区「ホロヒラタイ」における森と草っぱらの造成。</t>
  </si>
  <si>
    <t>理事長　土門　環</t>
  </si>
  <si>
    <t>札幌市民交流プラザ</t>
  </si>
  <si>
    <t>この法人は、臨床美術の理念と方法を、臨床美術士の専門知識や技術を用いて、認知症の予防や症状改善、障がいや病を持つ当事者とそのご家族・心のケアを必要とする方々をはじめ、お子さんから高齢者まで全ての方々の Well being ( 幸福感・達成感 を高めると共に、子どもの感性教育、及びレジリエンス 自己回復力 を高める活動を推進し、保育・教育・福祉・医療に携わる実務者や学生などを対象に伝え、心の通い合うまちづくりに貢献することにより、感性豊かで健やかな活力ある社会の実現に寄与することを目的とする。</t>
  </si>
  <si>
    <t>臨床美術を伝える活動を行って行きます。セッションの場を開拓し、継続した運営を行います。「いてくれてありがとう」全ての人は、生きていることそれ自体に意味があるという臨床美術の人間観を基本に、臨床美術士の専門知識や技術を用いて、参加者の 「描きたいから描く」という純粋な気持ちを呼び覚まし、「上手下手では評価されない絵やオブジェ」 の制作へと導きます。完成した作品を鑑賞し、互いの作品を認め合い称え合います。事業は下記の通り。_x000D_
臨床美術の普及啓発に関する事業_x000D_
臨床美術士を紹介する事業_x000D_
臨床美術の調査研究に関する事業_x000D_
臨床美術等関連用品を提供する事業</t>
  </si>
  <si>
    <t>2022年 5月～8回札幌市民交流プラザにおいて臨床美術アートプログラムによるワークショップを開催する。今年度継続_x000D_
2022年5月～厚沢部町にて臨床美術アートプログラムによるアート教室を開始、今年度継続。今年度～地域包括支援センター事業「厚沢部町さわやかアート教室」運営開始_x000D_
2022年10月北海道大学学術交流会館においてハイブリットによって、京都府立大学医学研究科脳神経内科学教授水野敏樹氏、京都在住臨床美術士フルイミエコ氏を講師に迎え「美術 × 医療」ー美術の可能性をひらくー開催、医療・福祉・一般の方々に美術の可能性を語って頂く。_x000D_
2022年11月～こころのリカバリー職員及び利用者、南区介護予防センター職員、ホサナホーム職員及び利用者、社会福祉協議会職員、放課後児童デイサービスあんあんclass SGT 職員他を対象に臨床美術アートプログラムによるワークショップ並びに講演を行う。</t>
  </si>
  <si>
    <t>代表理事　杉﨑　英利</t>
  </si>
  <si>
    <t>地域住民全てに対して、精神的弱者（うつなどの気分障害、ストレス過多、障がい者など）のメンタルヘルスケアに関する事業を行うことにより、地域福祉推進に寄与する。</t>
  </si>
  <si>
    <t>①メンタルヘルスケア事業_x000D_
②障がい者支援事業_x000D_
③高齢者支援事業_x000D_
④児童育成事業_x000D_
⑤まちづくり推進事業_x000D_
⑥前各号の事業に附帯する事業</t>
  </si>
  <si>
    <t>①	CSRワークショップ—　サッポロファクトリー・イオンモール発寒・マルヤマクラス・CAPO大谷地等_x000D_
②	非常勤講師　—　池上学院グローバルアカデミー専門学院_x000D_
③	児童・障がい者福祉　—　児童デイサービス天使のわ・美園児童会館・子ども食堂kaokao・むくどりホーム等</t>
  </si>
  <si>
    <t>代表　村田　豊</t>
  </si>
  <si>
    <t>札幌市を訪れる観光客に、歴史文化や地場産業等を会員自身の奉仕活動により案内と説明を行い、札幌についての理解を深めてもらい、札幌市における観光需要の創出と来札観光客のリピーター確保により札幌観光の振興促進につなげることを目的とする。</t>
  </si>
  <si>
    <t>【定点施設での案内】(無料ガイド)_x000D_
・札幌市時計台/道庁旧赤れんが庁舎(仮設見学施設)/狸小路都心民間インフォメーションセン_x000D_
ター/清華亭(工事中～令和6年から再開)_x000D_
【事前予約による同行案内】(有料ガイド)～ガイド料金(交通費)：個人客2.5千円、旅行会社4千円_x000D_
A～Ｇのモデルコース(2～3時間)、Hオリジナルコース、旅行会社・修学旅行生案内。_x000D_
【中国語勉強会】～会員向けに毎週1回、中国人留学生(北大院生)を講師にして開催。_x000D_
【歴史と文化を学ぶ会】～会員向けに講演会、日帰りバス研修会、スキルアップ動画配信</t>
  </si>
  <si>
    <t>【定点施設での案内】_x000D_
(コロナ禍前)～令和元(2019)年案内実績総合計 69,697名_x000D_
　札幌市時計台(24,329名)/道庁旧赤れんが舎(14,268名)/狸小路都心民間交番(15,476名)_x000D_
/清華亭(工事中～令和6年から再開)/旧永山武四郎邸(3,454名：現在未実施)_x000D_
【事前予約による同行案内】_x000D_
～令和元(2019)年案内実績 60組　1,047名　ガイド118名が対応_x000D_
【中国語勉強会】～会員向けに毎週1回、中国人留学生(北大院生)を講師にして開催。_x000D_
【歴史と文化を学ぶ会】～会員向けに講演会(年1)、日帰りバス研修会(年1)、動画配信_x000D_
(YouTubeで4本会員限定配信中～｢札幌市資料館｣｢豊平館｣｢姉妹都市｣｢札幌マラソン｣)。</t>
  </si>
  <si>
    <t>会長　宮口　博幸</t>
  </si>
  <si>
    <t>菊の里地区</t>
  </si>
  <si>
    <t>平成10年04月</t>
  </si>
  <si>
    <t>住民相互の連絡を図り、良好な地域社会を形成し、維持・発展させることを目的としています。</t>
  </si>
  <si>
    <t>会員の福祉向上、健康増進、交通安全、防犯・防火などに資する活動を行っています。当団体では、設立目的を達成するため、総務部、厚生部、交通防犯部、福祉部、女性部の5つの専門部会を設置し、それぞれが毎年度事業を計画し、実施しています。</t>
  </si>
  <si>
    <t>　1998年4月に団体設立後は、年中行事として、総会（5月）・新年会（1月）、通学児童交通安全指導（4月）、大型街頭啓発（9月）、パークゴルフ大会（9月）、収穫祭（10月）等を主催しています。また、地域内の他団体（まちづくり協議会、交通安全実践会、母の会、体育振興会、育成委員会）の活動を支援するための助成を行っています。</t>
  </si>
  <si>
    <t>塾長代行　小松　寿幸</t>
  </si>
  <si>
    <t>パソコン学習で生活を向上させると共にパソコンを通して交流し、話し合い、活力ある後半の人生の充実した生活に資する。</t>
  </si>
  <si>
    <t>1ボランティア講師による、主としてシニアー世代へのパソコン技能の指導_x000D_
2会員による相互学習、相互指導_x000D_
3会員同士の仲間づくり、交流行事</t>
  </si>
  <si>
    <t>平成20年4月から活動開始。2023年現在で11グループ（会員約60人）がPC学習を行っております。この間、卒業（ＰＣ技能取得）した会員は約2000人を越えております。講師ボランティアとして15名以上の方が学習指導支援を行っております。_x000D_
サークルのような塾で、ＰＣ学習に加えて交流仲間づくりで高齢者の活性化に寄与してきております。</t>
  </si>
  <si>
    <t>会長　佐藤　義博</t>
  </si>
  <si>
    <t>菊水西連合町内会地域</t>
  </si>
  <si>
    <t>昭和30年04月</t>
  </si>
  <si>
    <t>菊水西連合町内会地域に暮らしている人々が日頃から親睦と交流を通じて連帯感を深め地域に共有する様々な課題をみんなで協力して解決し、安心・安全な地域づくりを目指して設立した</t>
  </si>
  <si>
    <t>防犯・防火啓蒙活動（夜間パトロール月2回）・春、夏、秋の地域内一斉清掃活動・小学校校区地域の青色回転パトロール（週1回）・菊水子どもまつり・盆踊り・パークゴルフ大会の開催（毎年9・10月）・交通安全指導（年3回）・避難行動要支援者（支援が必要な方）の見守り活動・災害に備えて防災訓練の実施・西町集会所の遠泳管理・毎月役員会議を開催して地域内の課題を協議。地域内の環境整備事業。</t>
  </si>
  <si>
    <t>防犯・防火啓蒙活動（夜間パトロール月2回）・春、夏、秋の地域内一斉清掃活動・小学校校区地域の青色回転パトロール（週1回）・菊水子どもまつりの開催（毎年9月）・交通安全指導（年3回）・避難行動要支援者（支援が必要な方）の見守り活動・災害に備えて防災訓練の実施・西町集会所の遠泳管理・役員会議を開催して地域内の課題を協議。地域内の環境整備事業。</t>
  </si>
  <si>
    <t>会長　山内　勝</t>
  </si>
  <si>
    <t>菊水地域全域</t>
  </si>
  <si>
    <t>昭和30年06月</t>
  </si>
  <si>
    <t>本会は町内に住み良い環境をつくるため、文化生活の向上及び庁内の街路灯・防犯・防火・衛生その他公益のための共同施設の充実及び行事を行うと共に、会員相互の親睦を図る事を目的とする。</t>
  </si>
  <si>
    <t>春の庁内における花壇の植栽や大掃除を行う。_x000D_
防犯におけるカメラの設置などを単町に推薦する。_x000D_
高齢者に対してはガン検診やふれあい交流会などを行う。_x000D_
女性部を主体とした活動には通学路街頭啓発や交通安全街頭啓発、赤い羽根共同募金活動などがある。</t>
  </si>
  <si>
    <t>令和４年11月南連町に防犯カメラを10台設置する。_x000D_
令和５年４月に通学路街頭啓発や５月からは毎月交通安全早朝街頭啓発を行う。_x000D_
８月の胃がん大腸がん検診、５月、１０月の町内大掃除、花壇植え、９月には南連女性の親睦日帰りバスツアーをしました。</t>
  </si>
  <si>
    <t>会長　蠣崎　三憲</t>
  </si>
  <si>
    <t>菊水上町地区会館</t>
  </si>
  <si>
    <t>昭和29年07月</t>
  </si>
  <si>
    <t>菊水上町連合町内会は、菊水上町地区住民の自治活動を通して、相互扶助、親睦と福祉の向上を図り、安全・安心で住み良い地域社会の発展に寄与するため、町内会の円滑な運営を図ることを目的とする。</t>
  </si>
  <si>
    <t>菊水上町連合町内会の目的達成のため、下記の活動を行う。_x000D_
(1)相互扶助、親睦、福祉に関すること。_x000D_
(2)防災、防犯、環境衛生に関すること。_x000D_
(3)その他、目的達成のために必要なこと。</t>
  </si>
  <si>
    <t>(1)買い物困難者等のため、コープさっぽろの移動販売車に来町してもらっている。_x000D_
　８月第１日曜日に夏祭り・盆踊りを開催。みんなの食堂へ支援中。_x000D_
(2)上白石小と町内の皆さんで、合同避難訓練を年間３回実施。_x000D_
　青色回転灯パトロールかる同時支柱。春・秋の町内一斉清掃実施。_x000D_
(3)白石公園内に「上白の郷」新設活動（工事）中。</t>
  </si>
  <si>
    <t>会長　阿部　由依</t>
  </si>
  <si>
    <t>北海道全域（特に札幌市内）</t>
  </si>
  <si>
    <t>産後の女性に生じるマイナートラブル（腰痛、骨盤帯痛、尿失禁、腱鞘炎など）や女性のスポーツ障害（過度な減量による栄養不足とそれによる健康問題など）、産前高齢者や泌尿器科術前後に生じる下部尿路障害（尿失禁など）に対して、理学療法士としてサポートするための活動を行うことを目的とする。</t>
  </si>
  <si>
    <t>活動を行うための基礎知識を学ぶため、月に１度、勉強会を実施している。また、年に１〜２回程度、理学療法士向けに、講習会を開催している。今後は、産前産後の女性に生じるマイナートラブル（腰痛、骨盤帯痛、尿失禁、腱鞘炎など）に対して、理学療法士として身体機能面のサポートができるように、市民向けのセミナーやワークショップなどを開催していきたい。</t>
  </si>
  <si>
    <t>１）平成２９年１０月　第６８回北海道理学療法士学術大会　特別企画　テーマ「排尿領域における理学療法士の役割に関するセミナー及び評価測定体験」_x000D_
２）平成３０年３月　理学療法士向け講習会　テーマ「下部尿路障害における基礎理解と介入」_x000D_
３）平成３０年７月　第６９回北海道理学療法士学術大会　自主企画講座教育セミナー　テーマ「下部尿路機能障害に対する理学療法士の役割〜実践編」_x000D_
４）平成３１年６月　理学療法士向け講習会　テーマ「ウィメンズヘルス理学療法〜産前産後の尿失禁に対する骨盤底筋トレーニング〜」_x000D_
５）平成３１年６月　第７０回北海道理学療法士学術大会　自主企画教育セミナー　テーマ「「排尿自立指導料」情報交換会」_x000D_
６）平成３１年１０月　第７回日本運動器理学療法学術大会　ポスター発表　テーマ「若年理学療法士における尿失禁有訴率の実態調査（第二報）」_x000D_
７）令和４年７月　第７３回北海道理学療法士学術大会　プレオープンセミナー　テーマ「女性のライフイベントと運動介入の影響〜持続可能な社会へ向けた、健康増進の可能性を考える〜」　　　　　　　　　　　　　　_x000D_
８）令和５年９月　石狩主催「子育てメッセ２０２３」　「ママのからだチェック」ブース出展　　　　　　　　　　　　　　　　　_x000D_
９）令和５年１０月　北海道理学療法士協会主催「ウィメンズヘルスリハビリテーションの基礎知識と理学療法評価」_x000D_
１０）令和５年１１月　第７４回北海道理学療法士学術大会　自主企画セミナー「女性のライフステージに寄り添う理学療法」</t>
  </si>
  <si>
    <t>会長　土田　義也</t>
  </si>
  <si>
    <t>厚別区青葉地区内</t>
  </si>
  <si>
    <t>昭和44年12月</t>
  </si>
  <si>
    <t>この会は、青葉まちづくりセンター区域内の各町内会（自治会）をもって組織し、この地域の振興発展と住民の親睦をはかることを目的とする。</t>
  </si>
  <si>
    <t>　(１) 各町内会（自治会）相互間の連絡調整に関すること｡_x000D_
　(２) 地域内に必要な施設及び環境の整備充実に関すること。_x000D_
　(３) 地域住民の融和と社会福祉の増進に関すること。_x000D_
　(４) 地域の環境衛生、防災、防犯、交通安全に関すること。_x000D_
　(５) 青少年の健全育成、女性の教養、文化体育の向上に関すること。_x000D_
　(６) その他目的達成に必要な事業に関すること。</t>
  </si>
  <si>
    <t>①青葉の森音楽会を毎年開催している。青葉中学校合唱部、北広島弦楽合奏団、ラテンバンド等の演奏による音楽会を通じて、中学生と地域住民の世代間交流を図り、５団体約１８０人が参加した。_x000D_
②あおばオータムフェスタを毎年開催している。野菜・果物等の廉価販売、ミニゲーム大会、子どもたちが企画運営する「にんじゃしゅぎょうコーナー」、清掃事業の普及啓発、抽選会などを通じて、多世代の交流を図り、１９団体約８５０人が参加した。_x000D_
③いきいき健康・介護予防フェアを毎年開催し、青葉地域の住民を対象に自主的な健康づくり・介護予防を支援した。２３団体約１１０人が参加した。_x000D_
④その他、花いっぱい運動等の環境保全・環境教育、文化展、子どもたちの見守り活動等の事業にも取り組んでいる。</t>
  </si>
  <si>
    <t>代表　田川　景秋</t>
  </si>
  <si>
    <t>会員の書的水準を高め、あわせて書道の振興に寄与することを目的とする。_x000D_
昭和５２年11月設立　　父親　金子秋雪によって札幌市内に教室を展開、展示会を通して市民の方々に芸術の見聞を広げ、子供から大人までの日本書道を指導、平成３０年より娘である田川景秋が跡を継ぎ今日に至っている</t>
  </si>
  <si>
    <t>機関誌の発行や、展覧会、研究会等本会の目的達成に必要な事業等を行う。　_x000D_
2月　　色紙展　札幌東区民センター1階ロビー_x000D_
9月　　草笛墨生会　書展開催　道新ホール　5日間_x000D_
10月　東区オータムフェスティバル作品展示参加_x000D_
　　　　札幌市東区民センター大ホール　3日間</t>
  </si>
  <si>
    <t>平成21年北海道書道展会友_x000D_
毎日書道展・創玄展・現代書道展・日展などに出品_x000D_
１９77年（昭和52年）設立、現在で46周年になり、毎年1回作品展を開催_x000D_
会場は道新ホール・アートスペース・史料館、他</t>
  </si>
  <si>
    <t>会長　村田　忠一</t>
  </si>
  <si>
    <t>札幌市白石区北郷2条3丁目11-21北白石まちづくりセンター内</t>
  </si>
  <si>
    <t>昭和49年04月</t>
  </si>
  <si>
    <t>北白石連合町内会は町内会および自治会の相互の連絡を図り、地区住民の共通する社会問題の解決と福祉の増進を図ることを目的とする。</t>
  </si>
  <si>
    <t>(1)地区住民の共通する社会問題解決に関する事業。_x000D_
(2)地区内における住民の自主活動、並びに行政機関よりの依頼伝達、協力に関すること。_x000D_
(3)町内会および自治会ならびに各種団体相互間の連絡調整。_x000D_
(4)その他会の目的達成に必要なこと。</t>
  </si>
  <si>
    <t>「住んでよかった北白石」を合言葉に、地域住民が安心し、愛着をもって暮らせるまちを目指して活動を行っています。_x000D_
安全・安心なまちづくりを目指し、毎月1回、地域各所で交通安全早朝街頭啓発を行っているほか、9月には近隣の小学生も参加し、幹線道路で街頭啓発を行い、ドライバーや歩行者に交通安全を呼びかけています。また、地震や水害などの災害に備え、防災セミナーを開催しています。_x000D_
住民同士の交流を深めるため、健康づくり教室を年に3回、1月には「北白石雪フェスティバル」を開催し、冬の遊びを通じて地域内で世代を超えた交流を図っています。_x000D_
民生児童委員協議会や青少年育成委員会など地域で活動する団体への支援を行っています。</t>
  </si>
  <si>
    <t>会長　菊地　邦夫</t>
  </si>
  <si>
    <t>札幌市厚別区厚別東地区内</t>
  </si>
  <si>
    <t>平成08年05月</t>
  </si>
  <si>
    <t>この会は、各町内会の相互連絡機関として区域内の振興発展と住民福祉の向上を図ることを目的とする。</t>
  </si>
  <si>
    <t>地区内の単位町内会と行政機関や各種団体との連絡調整のほか、以下の事業などを実施している。_x000D_
・地域の福祉向上や環境改善に関すること_x000D_
・地域の防犯防災や交通安全に関すること_x000D_
・地域移住民の健康増進や青少年育成に関すること</t>
  </si>
  <si>
    <t>・国道12号花いっぱいプロジェクト（６月、街路樹桝２８か所の花上）_x000D_
・ワイワイ夏フェスタinくりの木（7月、幼児から小学生を中心とした遊びイベント）_x000D_
・交通安全街頭啓発（年4回）、交通安全総決起大会（9月）、迷惑駐車パトロール（11月、1月）_x000D_
・厚別東地区防災訓練（10月）_x000D_
・厚別東地区ボウリング大会（11月）_x000D_
・陶芸体験学習会（11月）_x000D_
・除雪ボランティア（2月、中学生や高校生と連携した除雪等）など</t>
  </si>
  <si>
    <t>会長　阪口　博治</t>
  </si>
  <si>
    <t>白石区菊水</t>
  </si>
  <si>
    <t>昭和37年04月</t>
  </si>
  <si>
    <t>会員相互及び会内外の諸団体との協力・協調のもとに、会員の教養を高めるとともに、地域福祉の増進を図り、地域生活環境の向上や防災などに努め、もって地域住民のためのまちづくりに資することを目的とする。</t>
  </si>
  <si>
    <t>（1）交通安全、青少年育成、防火・防災、福祉生活改善などの地域の問題に関する活動_x000D_
（2）文化、スポーツ、レクリエーション活動_x000D_
（3）環境整備美化、保健衛生、集会所の整備・維持に関する活動_x000D_
（4）民生関係、高齢者福祉等社会福祉に関する事項_x000D_
（5）広報活動及び行政の連絡協議</t>
  </si>
  <si>
    <t>令和5年5月～11月（月2回）四ッ葉公園清掃_x000D_
令和5年5月～11月（月1回）夜間「防犯・防火パトロール」_x000D_
令和5年7月　菊水地区防災訓練_x000D_
令和5年5月～10月（月2回）サロン・四ッ葉_x000D_
令和5年7月27日～8月19日ラジオ体操_x000D_
令和5年8月14・15日　子ども盆踊り</t>
  </si>
  <si>
    <t>会長　綿谷　隆</t>
  </si>
  <si>
    <t>北郷会館</t>
  </si>
  <si>
    <t>昭和29年08月</t>
  </si>
  <si>
    <t>住民の生活の向上（上下水道の整備、道路の舗装、バス路線の誘致など）並びに住民の親睦交流</t>
  </si>
  <si>
    <t>会員相互の親睦を図り日常生活の向上と地域の繁栄を図ることを目的に下記の活動を実施_x000D_
①地域の安全を守り維持する活動_x000D_
②地域の親睦を図る活動_x000D_
③環境美化活動_x000D_
④防火防災活動_x000D_
⑤高齢者見守り活動　生活道路の除排雪　など</t>
  </si>
  <si>
    <t>・犯罪や事故を抑止するために「青色防犯パトロール」「防犯カメラの設置」などの事業を実施_x000D_
・子どもみこし、盆踊り大会などを行い子どもたちやその保護者たちとの親睦を図る_x000D_
・ごみステーションの整備、花壇桝の花植えなどを行い環境の美化に力を入れる_x000D_
・所属する7つの町内会合同で防災訓練、また北郷会館避難所運営訓練を毎年実施_x000D_
・福祉推進委員会を設置し高齢者の見守り活動を実施_x000D_
・町内すべての生活道路の排雪を実施し歩行者や車両の安全を確保_x000D_
・地域のコミュニティセンターとして北郷会館を運営、多くの個人、団体が利用</t>
  </si>
  <si>
    <t>運営委員　佐藤　勝利</t>
  </si>
  <si>
    <t>豊平区民センター・調理実習室</t>
  </si>
  <si>
    <t>平成19年02月</t>
  </si>
  <si>
    <t>シニア男性のために『料理の基本を学び、仲間と楽しく調理実習を行う』そんな場を地域に設け、継続して活動します。会員自身の後半人生の糧として、さらに料理を通して地域にも貢献していきたい。</t>
  </si>
  <si>
    <t>年間計画に基づき、シニア男性の料理教室を1回/月の頻度で継続実施してきた。主として素朴な家庭料理に挑戦しています。月例会は当番担当班が担い、会場予約/講師折衝/食材手配等の準備一切を行い開催してきました。月例会の講師は豊平保健センター様のご支援と、一般講師の皆様にも広く依頼して実施してきました。会再開後は新たな試みとして、地域の一人暮らしの高齢者への食事提供活動の方策を検討したい。実現のためには、豊平区包括支援センター/該当町内会との連携が必要と考えます。</t>
  </si>
  <si>
    <t>2007年2月豊平区初の男性料理クラブ『豊丁の会』として発足。以来、年度毎の計画に沿った活動を継続してきた。2017年2月には10周年記念誌を作成、発刊しました。_x000D_
さらに活動を継続実施して来たが、新型コロナ禍のため活動を一旦休止し、会自体も解散していました。_x000D_
この度の豊平区主催の「健康料理教室」に会員の一部が参加し、急遽会の再開へと進展した。</t>
  </si>
  <si>
    <t>代表　田中　春彦</t>
  </si>
  <si>
    <t>平成25年08月</t>
  </si>
  <si>
    <t>本会は、 札幌市を拠点として、独自の手法による演劇の公演や、 演劇の理論、知識、技術などの資質の向上に関する活動を主目的とし、 優しい社会の実現を目指す。 また、これらを達成するため、各関係機関に発信し連携することで、地域の人材の育成および、学術、文化、産業、社会の発展とたくさんの笑顔づくりに貢献することを目的とする。</t>
  </si>
  <si>
    <t>（１） 各種メディア、舞台、その他各種イベントへの出演。_x000D_
（２） 劇場及び小学校、児童施設、老人ホームなどでの演劇公演の企画、制作、実施及び運営。_x000D_
（３） イベントの企画、制作、実施及び運営。_x000D_
（４） 演劇に関するワークショップ及び教室の企画及び運営。_x000D_
（５） 体操及びその他運動に関するワークショップ及び教室の企画及び運営。_x000D_
（６） コミュニケーション能力向上に関する教育事業。</t>
  </si>
  <si>
    <t>過去、５回の本公演に加えて、「わんわんズフェスティバル」などを含めて舞台公演を多数開催。（２０２３年は「わんわんズフェスティバル２０２３」を開催。_x000D_
２０１７年から２０２２年にかけて、飲食店を貸し切ってのパフォーマンスイベント「ポンコラ！」を年に２～４回のペースで開催。_x000D_
２０２２年から、札幌市PTA共済会と協働で、市内の小学校・幼稚園を回っての交通安全ショーを上演。_x000D_
過去、お祭りでのヒーローショーの上演多数（２０２３年は南郷丘町内会夏祭りにて上演）_x000D_
２０２３年から、ワークショップ形式で表現を伝える教室「one_class」を開講。_x000D_
他、メンバー個人での舞台出演や講師活動なども行っている。</t>
  </si>
  <si>
    <t>理事長　南雲　純子</t>
  </si>
  <si>
    <t>札幌市南区真駒内上町</t>
  </si>
  <si>
    <t>平成25年12月</t>
  </si>
  <si>
    <t>誰もが安心していきいきと自分らしく生活できるため、障がいのある人もない人も多様な人たちがつながるネットワークを作ることで、暮らしやすいまちづくりを目指すことを目的とする。</t>
  </si>
  <si>
    <t>活動の目的を達成するため、みんなが集まれる場としてのカフェ運営と、さまざまなイベント活動を行っています。その中でもユニバーサルカフェの特徴的なイベントとして、障がいのある人もない人も、子供もお年寄りも、海外の方も参加し、上手下手ではなく音楽が好きな人が集い楽しむユニバーサルコンサートは３０回以上継続して行ってきています。店内の空きスペースをギャラリーとし、地域の方の作品、絵画や写真などの展示も行っています。また、子ども食堂や健康教室のように他の地域団体と連携した活動も行ってきました。今後も、幅広い年齢層の方々が集まり、みんなで作るみんなの場所となれるよう努めてまいります。</t>
  </si>
  <si>
    <t>通年）・ユニバーサルカフェminnaの運営・こども食堂「わっか」との連携・ギャラリーを活用した作品の展示_x000D_
・ウクレレ教室の開催・ピアノタイムコンサートの開催_x000D_
2022年10月〜2023年9月折り紙教室の開催_x000D_
2023年1月ピアニスト中嶋健太郎さんによるニューイヤーコンサートの開催_x000D_
2023年4月油絵ワークショップ、絵付け教室の開催、ユニバーサルコンサートの開催_x000D_
2023年6月〜9月歌声喫茶の開催_x000D_
2023年7月地域の方の手作り作品や野菜を集めたワンデーマーケットの開催_x000D_
2023年8月真駒内上町公園盆踊りへの出店、朗読を篠笛の会の開催</t>
  </si>
  <si>
    <t>会長　豊間根　一雄</t>
  </si>
  <si>
    <t>北東白石地区</t>
  </si>
  <si>
    <t>昭和61年10月</t>
  </si>
  <si>
    <t xml:space="preserve">  北東白石地域の各町内会及び自治会相互の連絡を図り、この地域の振興発展と住民の親睦を図ることを目的とする。</t>
  </si>
  <si>
    <t>(1)各町内会及び各種団体との相互連絡調整に関すること。_x000D_
(2)地域住民に共通する社会問題に関すること。_x000D_
(3)地域における自主的住民活動及び行政機関への協力に関すること。_x000D_
(4)その他目的の達成に必要なこと。</t>
  </si>
  <si>
    <t>(1)総務部：定期総会・毎月１回開催する定例役員会議等の諸会議の開催。_x000D_
(2)厚生部：クリーンさっぽろ衛生推進連絡協議会の研修や各種会議の参加のほか、春・夏・秋の清掃運動期間に併せ、各町内会・自治会で清掃を実施するよう要請。_x000D_
(3)青少年部：北東白石連合町内会長杯パークゴルフ大会を開催したほか、青少年育成委員会主催の冬季レク「雪遊びフェスティバル」を、体育振興会、地区子ども会連絡協議会や川下公園管理事務所等と共同開催。_x000D_
(4)防犯防災部：札幌白石区防火委員会及び白石消防署と協力し、地域の防火意識の向上を図ったほか、北東白石まちづくり協議会と連携し、「子ども110番の家」の協力世帯の拡大や、防災訓練を実施。_x000D_
(5)交通安全部：白石区交通安全運動推進委員会が主体となって実施する街頭啓発事業に積極的に参加協力したほか、交通安全並びに違法駐車の防止啓発に努めた。_x000D_
(6)女性部：白石区連合女性部連絡会議が主催する諸行事等や北東白石まちづくり協議会が主催する諸行事に積極的に参加協力した。</t>
  </si>
  <si>
    <t>代表　石川　綾子</t>
  </si>
  <si>
    <t>チ・カ・ホ 札幌駅前通地下広場等</t>
  </si>
  <si>
    <t>北海道でも盆栽を楽しめることを市民へお知らせして、若者からお年寄りまで、北海道に盆栽文化を普及させたい。そして、盆栽文化普及イベントでは、ちいさな交流スペースをつくり、見知らぬ人々が「盆栽」を通してつながる仕組みも考えています。また盆栽の育て方の無料パンフレットの配布や、ホームページにて盆栽団体の紹介もおこなっております。現在盆栽愛好家は高齢化が進んでおり、所持している盆栽をどうするかという問題があります。私達の活動はそういった盆栽を若者に引き継いでもらう内容も含んでおり、そこで生まれる交流が人をつなげるまちづくりにもなると考えております。</t>
  </si>
  <si>
    <t>初心者盆栽文化の広報活動・育成アドバイス / 文化的に貴重な盆栽の記録活動 / イベント等へ盆栽の無償貸出 / 初心者むけ盆栽販売・相談イベントの開催</t>
  </si>
  <si>
    <t>１.初心者むけ盆栽育成無料パンフレット作成・配布。２ホームページでの盆栽情報発信　３.初心者むけ盆栽販売・相談イベントの開催。</t>
  </si>
  <si>
    <t>白石東地区</t>
  </si>
  <si>
    <t>平成02年12月</t>
  </si>
  <si>
    <t>平成03年01月</t>
  </si>
  <si>
    <t>白石東地区の発展と住民福祉の向上を図り、もって明るく住みよい地域社会を築く。</t>
  </si>
  <si>
    <t>・地区住民の福祉に関する事業の推進に関すること。_x000D_
・地区住民に共通する社会問題の解決に関すること。_x000D_
・町内会及び各種団体との相互連絡調整に関すること。_x000D_
・その他、本会の目的達成に必要な事業。</t>
  </si>
  <si>
    <t>【主な活動実績】_x000D_
・地区住民の健康増進を目指した「スポーツ大会」の実施_x000D_
・地区の防災意識の醸成を目指した「防災訓練」及び「白石東地区防災計画」の策定_x000D_
・地区の高齢者の健康維持を目指した「健康事業」の実施_x000D_
・地区の交通安全推進を目指した啓発活動の実施</t>
  </si>
  <si>
    <t>代表　髙野　大輔</t>
  </si>
  <si>
    <t>札幌市内（主に中央区、豊平区、西区）</t>
  </si>
  <si>
    <t>令和05年01月</t>
  </si>
  <si>
    <t>この団体は、福祉活動に関わる者、今後福祉活動に関りを持ちたいと希望している者に対して、気軽に情報交換や交流できる仕組みづくりに関する事業を行い、福祉に関わる、関わりたい者同士の分野、職種を問わない新たな連携、相談先、新たな社会資源をつくることで福祉の輪を広げ、地域福祉寄与することを目的とする。</t>
  </si>
  <si>
    <t>福祉に関わる関わりたい全ての方を対象とした職場でもプライベートでもなく、気軽に情報交換、相談、実際の連携につながる場をつくる為、①グループワーク、②情報交換、相談の時間を基本とした福祉のしゃべりばを定期開催。主に市内地下鉄徒歩圏内で集まりやすい会議室などをお借りし、夜間の時間帯で開催。又、福祉活動にITを普及させるための勉強会、交流をメインとした福祉のしゃべりBARを不定期開催で行っている。</t>
  </si>
  <si>
    <t>令和5年1月3日に立ち上げし、主に福祉関係者を中心に事業周知活動を重ねる。令和5年4月から毎月1回上記活動内容を行っており、参加者は1月開催までで延べ335名、毎回30名以上の方が参加。福祉に関わる、関わりたい福祉、医療職をはじめ、保育、司法、IT、一般職、学生等幅広い分野の方に参加いただき、福祉のしゃべりばを通して実際の連携、相談先、新規のイベントや事業につながってる。</t>
  </si>
  <si>
    <t>令和04年07月</t>
  </si>
  <si>
    <t>犯罪被害者本人・家族・遺族に対し、社会生活回復に必要な支援・援助等の事業を行う</t>
  </si>
  <si>
    <t>（1）犯罪被害者等の社会生活回復を目的とした事業_x000D_
（2）犯罪被害に関する市民の理解促進のための広報活動</t>
  </si>
  <si>
    <t>（1）犯罪被害者等の電話・面接による相談援助支援員の養成講座開催（令和5年）_x000D_
（2）刑法39上不起訴事件被害者の知る権利の保障を求める法務大臣への要望書提出（令和5年）</t>
  </si>
  <si>
    <t>理事・事務局広報　鈴木　ユカリ</t>
  </si>
  <si>
    <t>札幌市内各区</t>
  </si>
  <si>
    <t>昭和60年11月</t>
  </si>
  <si>
    <t>自然を尊び、自然を学ぶ我々は、自然観察会活動をとおして多くの人々と自然について語り、自然について親しみながら、自然と調和する方法を探求し、このかけがえのない自然をより良い姿で子孫に残そうとするものである。</t>
  </si>
  <si>
    <t>①全道各地での自然観察会の開催_x000D_
②公開講演会及び会員対象の講演会_x000D_
③会員を対象とした全道及び地方研修会_x000D_
④会報の発行_x000D_
⑤HP公開</t>
  </si>
  <si>
    <t>2018年6月　　生物多様性さっぽろ応援宣言団体登録</t>
  </si>
  <si>
    <t>会長　東 健二郎</t>
  </si>
  <si>
    <t>もみじ台地区</t>
  </si>
  <si>
    <t>昭和63年04月</t>
  </si>
  <si>
    <t>もみじ台地区の各自治会等の相互連携を図り、もみじ台地区の振興発展と地域住民の福祉の向上、並びに社会連帯意識の高揚を図ることを目的とする。</t>
  </si>
  <si>
    <t>住民生活に必要な施設及び環境の整備、福祉に関すること。_x000D_
広報活動、情報の伝達周知に関すること。_x000D_
生活環境の維持向上と保健、衛生等に関すること。_x000D_
交通安全、防災及び防犯に関すること。_x000D_
健康増進と親睦に関すること。_x000D_
市営住宅の環境改善に関すること。_x000D_
行政機関との連絡調整に関すること。_x000D_
その他目的達成に必要なこと。</t>
  </si>
  <si>
    <t>【主な活動実績】_x000D_
・もみじ台納涼まつり_x000D_
・「火災予防運動」街頭防火キャンペーン_x000D_
・防災訓練_x000D_
・一斉清掃_x000D_
・交通安全街頭啓発  など</t>
  </si>
  <si>
    <t>昭和63年10月</t>
  </si>
  <si>
    <t>「子どものための優れた舞台芸術鑑賞」「子どもたちの友情と主体性・創造性を育むための自主活動」を通して、子どもの健全な発達を図る。合わせて活動に参加する大人たちの自発的活動を通して、大人自身も成長し子どもの文化全体の発展を目指す。</t>
  </si>
  <si>
    <t>〇年齢に合った生の具体鑑賞（鑑賞例会）_x000D_
〇共通の目的をもった[あそび会」等の実施_x000D_
〇地域で親子がつながる環境づくり</t>
  </si>
  <si>
    <t>〇集団でのあそび会～子ども縁日、デイキャンプ、冬の外あそび活動_x000D_
〇居場所づくり～未就園児親子の子育てサークル活動(月一回）、小学５年生～中高生の自主活動（月一回程度）_x000D_
〇鑑賞例会～年４シーズン実施（2,023年6月～2024年4月は9公演実施）_x000D_
〇豊平区内での親子サークル活動_x000D_
〇運営委員による会議（月２回程度）</t>
  </si>
  <si>
    <t>代表理事　下休場　千秋</t>
  </si>
  <si>
    <t>令和02年09月</t>
  </si>
  <si>
    <t>札幌において歩くことの楽しみを広め、新たな交流を創造するため、健康・環境・観光・交流・景観をテーマとした周遊歩道「さっぽろラウンドウォーク」を設定、普及、発展させ、歩く文化を醸成していくことを目的とする。</t>
  </si>
  <si>
    <t>札幌市が有する自然、歴史、文化の魅力を余すことなく体感できる市街地を囲む約140kmの歩くコースを設定し、認知度拡大のための情報発信、イベント事業、ボランティア活動、調査研究活動を行っています。また、市民、民間事業者、行政、教育機関、ボランティア団体等との連携・協力を図り、「さっぽろラウンドウォーク」をより多くの観光客が歩くことで、観光客の滞在日数を伸ばし観光消費額の向上を目指すとともに、市民との交流機会の増大を図ります。私たちが制定しました「さっぽろラウンドウォーク憲章」の精神（自然保護・郷土学習・健康づくり・観光資源・市民協働・持続可能性）に基づき、「歩く」というアクティビティを通して、Well-Beingな札幌のまちづくりに貢献するために必要な活動をおこなってまいります。</t>
  </si>
  <si>
    <t>令和３年度　北海道新聞野生生物基金から助成金を得て、GISアプリを用いたルート調査方法に関する勉強会を開催_x000D_
令和4年度　観光庁の補助金を得て、「さっぽろラウンドウォーク」のガイドマップ、トレイルアプリを制作、モニターツアーを実施、ウォークツアーコンテンツを開発_x000D_
令和５年度　観光庁の補助金を得て、「さっぽろラウンドウォーク」の英語版ガイドマップ・アプリ・ポスターを制作、「Well-Beingを実現するまちづくりセミナー」・「セラピーガイド養成講座」を開催、モニターツアーを実施、ウォークツアーコンテンツを造成_x000D_
令和５年６月　「さっぽろラウンドウォーク オープン記念シンポジウム＆ウォーク」を開催</t>
  </si>
  <si>
    <t>理事長　渡邊　良平</t>
  </si>
  <si>
    <t>相談室かくかくしかじか</t>
  </si>
  <si>
    <t>令和04年09月</t>
  </si>
  <si>
    <t>少子化によりこれまで以上に大学や専門学校入学のハードルが下がり、知的な水準が低い学生や発達障害が疑われる学生が今後は更に多く入学していくことが予想される。その中でＮＰＯ活動を通し、学生が受けられる就労支援や修学支援をより充実させていくことにより、社会に参入する若者がこれまで以上に活躍できる素地を作るとともに、学生の就労後の失敗体験・挫折体験が致命的な水準に至る前に予防的なフォローができる体制を作ることで精神疾患発症の予防を行っていく。</t>
  </si>
  <si>
    <t>【障害を抱える大学生向けの就職支援、発達障害、メンタルヘルス不調を抱える専門学校生向けの相談支援事業】_x000D_
就職支援（就職先の開拓、書類作成支援、面接同行）、適性検査の実施、福祉制度・年金制度の情報提供、福祉事業所の同行支援、医療機関の紹介、卒後の相談機関の紹介、大学との情報共有・役割分担、社労士・弁護士事務所の紹介,メンタルヘルスの相談実施、専門機関の紹介（自殺防止、LGBT相談、性被害、貧困）、福祉制度・年金制度の情報提供、心理検査の実施、医療機関の紹介、専門学校との情報共有、継続的な相談先の紹介などを実施</t>
  </si>
  <si>
    <t>2023年度活動実績（2024年1月時点）_x000D_
１．障害を抱える大学生向けの就職支援：相談回数75回、相談人数20名２．発達障害　2.メンタルヘルス不調を抱える専門学校生向けの相談支援事業：相談回数45回、相談人数16名、３．福祉制度の説明会・障害者雇用の説明会は今年度１２回実施</t>
  </si>
  <si>
    <t>代表　畠山　裕美</t>
  </si>
  <si>
    <t>ギャンブル依存症は病的賭博と呼ぶ「病気」です。しかし、日本国内でこの事実はほとんど知られていません。現在、日本国内において、ギャンブル依存症罹患者は570万人と言われています。加えて、ギャンブル依存症の周囲にはギャンブル問題に巻き込まれ、苦しんでいる家族がいます。NPO法人全国ギャンブル依存症家族の会は、ギャンブル依存症に苦しみ悩む家族が、連帯して問題の解決を図ることを目的としています。</t>
  </si>
  <si>
    <t>NPO法人全国ギャンブル依存症家族の会は、問題解決のために家族の連携のみならず、関係機関と協力して依存症者の社会復帰への自立支援、予防教育に取り組み、WHOで認められた病気の正しい情報と家族が抱える問題を広く知ってもらうと共に、家族ならではの解決策をサポートしています。</t>
  </si>
  <si>
    <t>・2023年9月　ギャンブル依存症セミナー＆当事者・家族相談会開催。_x000D_
・毎月第3土曜日10時～12時。全国ギャンブル依存症家族会北海道開催。_x000D_
・2023年5月ギャンブル依存症問題啓発週間_x000D_
・2023年　オンラインカジノ啓発目的で札幌市内の大学、JR駅、地下鉄駅合わせて16枚のポスターを掲示してもらう。</t>
  </si>
  <si>
    <t>部長　北森　あん</t>
  </si>
  <si>
    <t>札幌市立大学芸術の森キャンパス</t>
  </si>
  <si>
    <t>(1)本会は、地域活動やコミュニティデザインに関心のある会員によって構成され、地域住民の方と共同しながら地域活動の場を企画・運営するとともに親睦を図ることを目的とする。_x000D_
(2)本会は、活動を通じて地域と大学を結びつけ、学生が地域や人と関わり合いながらデザインを学べる環境をつくることを目的とする。</t>
  </si>
  <si>
    <t>(1)芸術の森マルシェ八百カフェの開催において、毎年5〜10月に月1-2回程度の開催日を設定し、それに伴う企画・運営を行う。_x000D_
(2)札幌市立大学関係者や地域住民グループと連携を取りながら協同で企画を進める。</t>
  </si>
  <si>
    <t>2022年から札幌市南区「学生が主体的に取り組むまちづくり活動助成金」に採択され、2年間で計14回の開催を行なった。毎回150-300人程度が来場し、総来場者数は2022年は述べ1248人、2023年は延べ1479人であった。地域住民サークルやフリースクール、道内NPO法人からも出店があり、外部団体との連携を積極的に行っていることで地域活動等のプラットフォームの場として活用されている。2023年には北海道新聞「さっぽろ10区」に掲載、STV「札幌ふるさと再発見」に出演。</t>
  </si>
  <si>
    <t>代表　畠中 秀幸</t>
  </si>
  <si>
    <t>札幌市生涯学習センター ちえりあ</t>
  </si>
  <si>
    <t>平成21年04月</t>
  </si>
  <si>
    <t>プロ奏者によって構成された管楽合奏団の創設、プロ奏者に指導を受けるアマチュアによる「アカデミーバンド」、プロ奏者を中学校・高等学校の吹奏楽部に派遣する教育プログラム「サポートシステム」の実施を3本柱として2009年4月に発足しました。</t>
  </si>
  <si>
    <t>　北海道吹奏楽プロジェクト（HBP）では、小・中・高等学校の吹奏楽部、社会人・学生からなるHBPアカデミーバンド、市内・道内のプロ演奏家ら相互の、プロアマ交流・世代間交流を行いながら、吹奏楽の魅力あふれるコンサートを企画・開催しています。_x000D_
　代表の畠中秀幸は2011年に脳卒中を患い、右半身の機能を失いながら、左手のフルーティスト/建築家として活動。本プロジェクトの企画を通して、障碍者と音楽文化をつなぐ活動に精力を傾けています。</t>
  </si>
  <si>
    <t>　2010年2月に第1回「北海道吹奏楽フェスティバル」を開催し、以降、毎年のちえりあホールの恒例イベントとして地域に定着しています。また、2017年には教育文化会館で特別演奏会を開催し、多くのお客様に吹奏楽の魅力をお楽しみいただきました。_x000D_
　他にも、江別市、白老町、上川町、静内町ほか、道内各地での音楽イベント出演、音楽教育プログラム、他団体や学校とのコラボレーションなど、積極的に活動しています。_x000D_
　通算14度目となった2024年2月のフェスティバルでは、1/28と2/4の2日間で４ステージを開催。プロ奏者による室内楽演奏、HBPアカデミーバンドの吹奏楽演奏に加え、札幌市内・近郊の９校の吹奏楽部を招いて、講師陣による演奏指導「サポートシステム」の実演を交えた合同演奏を行いました。</t>
  </si>
  <si>
    <t>代表理事　中原　准一</t>
  </si>
  <si>
    <t>札幌市および近郊</t>
  </si>
  <si>
    <t>平成11年03月</t>
  </si>
  <si>
    <t>北海道の基幹産業である農業の活性化と、食料自給力および食意識の向上を目指し、生産者、消費者、流通・加工業者が共に活動することを目的とする</t>
  </si>
  <si>
    <t>農業や食の問題は多岐にわたっているので、当会ではそれぞれプロジェクトを作り、会員および一般を対象に啓発活動と実践活動を行なっています。「大豆トラスト」「小麦トラスト」では、ファームレターの発行や生産者と消費者によるトラスト畑での交流会、「まるごと学ぼう！食育講座」では調理実習と栄養等を学ぶ座学のほか、農場での体験学習を実施しています。「種」「アニマルウェルフェア（家畜福祉）」「おとなの食育トーク」の各プロジェクトでは、会員と一般を対象にそれぞれ専門家を招いて年に2～3回の学習会と、農場の視察などを行なっています。また、会員同士の交流会や他団体と協同しての活動も行なっています。</t>
  </si>
  <si>
    <t>2000年～現在：大豆トラスト（地産地消の活動）_x000D_
2002年～2011年：小麦トラスト（地産地消の活動。10年間の延べ参加人数は約1450名）_x000D_
2004年～現在：まるごと学ぼう!!食育講座（札幌市内の小学3年生～6年生を対象）_x000D_
2013年～現在：種プロジェクト（農業の基本である種についての学習会と実践活動）_x000D_
2014年～現在：アニマルウェルフェアプロジェクト（家畜福祉に関する学習会と現地視察）_x000D_
2016年～現在：おとなの食育トーク（大人に向けた食育活動。食と健康、アレルギー問題、食料　　　　_x000D_
　　　　　　　　　　自給率、酪農危機等々をテーマに学習会を開催）_x000D_
他、フォーラムや会員交流会の開催、会報（年3回）、プロジェクト通信の発行など。</t>
  </si>
  <si>
    <t>札幌市南区南沢3条2丁目8－14</t>
  </si>
  <si>
    <t>約50%が早産でうまれ、虐待死の発生率が、単胎児の約2.5 倍〜4倍と言う実態を持つ過酷な現状の多胎児育児。_x000D_
多胎児育児の当事者達には経験者の先輩や同じ環境に悩む仲間たちと出会い、共感し、経験や情報を共有し蓄積する機会を作り、問題を軽くし楽しく育児ができる環境や気持ちを作り出す事を目的とし、行政や地域にはこの問題を広く知ってもらい、より良い育児環境にしていくためにできる事を探し行動してもらう発信をし、多胎児育児がしやすい支援や環境を得られる状況を作る事を目的とし、活動を行います。</t>
  </si>
  <si>
    <t>目的達成のため次の事業を行う。 _x000D_
(1）月１〜２回程度の多胎児育児に関する情報発信。 _x000D_
(2）年に数回の週末多胎児育児支援相談イベント_x000D_
(3) 年に1回の北海道双子祭り_x000D_
(4) Zoomなどで定期的に多胎児育児相談ができる機会の創出_x000D_
(3) その他、団体の目的の達成のために必要な事業を行う。</t>
  </si>
  <si>
    <t>2023年5月20日、北海道双子祭りにて、双子子育て相談員や運営スタッフをメンバー全員で勤め、70組250名以上の多胎児家族の育児相談に真摯に向き合い活動しました。その後公式ラインにて不定期ではあるものの、双子子育てに役立つ情報や、双子子育ての集まりなどの機会を発信しています。</t>
  </si>
  <si>
    <t>会長　和田　順子</t>
  </si>
  <si>
    <t>食品ロスや食料安全保障など、食料システムに関わる課題に対し、生活者が当事者意識を持って行動を起こせるような人材の育成。</t>
  </si>
  <si>
    <t>①生産者・食品関連企業（卸・運輸・食品メーカー・小売・飲食等）・生活者の対話の場およびフィールドワークによる学習機会の提供_x000D_
②食料システムに関わる課題解決に向けた、生産者・食品関連企業・生活者とのネットワークづくり</t>
  </si>
  <si>
    <t>2021年9月：第1回「わたしたちと、食料システムサミット」_x000D_
2022年3月：第2回「わたしたちと、食料システムサミット」_x000D_
2022年9月：第3回「わたしたちと、食料システムサミット」_x000D_
2023年8月：第4回「わたしたちと、食料システムサミット　～土と食卓　玉ねぎパーティー編～」_x000D_
2023年9月：第5回「わたしたちと、食料システムサミット　～わたしたちの食卓～」_x000D_
2024年2月：フードドライブとつながろう　～食品ロスの行先は？～</t>
  </si>
  <si>
    <t>会長　田中　昭夫</t>
  </si>
  <si>
    <t>厚別中央地区内</t>
  </si>
  <si>
    <t>昭和61年04月</t>
  </si>
  <si>
    <t>厚別中央地区における各町内会の相互連絡機関として、区域内の振興発展と住民の福祉の向上を図ることを目的とする。</t>
  </si>
  <si>
    <t>・交通安全早朝街頭啓発の実施（年４回）_x000D_
・厚別中央地区社会福祉協議会が主催する事業への助成_x000D_
（福まち健康サロン、さわやか健康茶話会など）_x000D_
・地域住民団体が主催する事業への協賛_x000D_
（カルタの集い、スノーフェスティバル、ボウリング大会、ミステリーバスの集いなど）_x000D_
・厚別中央地区演芸発表会の開催</t>
  </si>
  <si>
    <t>・厚別中央地区社会福祉協議会および地域住民団体が主催する事業への助成・協賛を行っている。コロナの影響によって令和元年度から中止となっていた行事が多かったが、今年度は、さわやか健康茶話を４年ぶりに再開したほか、毎月開催している福まち健康サロン、子ども達を参加対象にした、カルタの集い、スノーフェスティバル、ボウリング大会、ミステリーバスの集いも実施した。_x000D_
・厚別中央地区の町内会や老人クラブのほか、学校や幼稚園などの地域住民が普段練習している成果を発表する場として、厚別中央地区演芸発表会を開催している。第43回目となる今年度は、20組130名の発表者、約350名の観客、40名の運営スタッフ、合計約520名が参加した。</t>
  </si>
  <si>
    <t>会長　阿部　芳昭</t>
  </si>
  <si>
    <t>厚別西地区</t>
  </si>
  <si>
    <t>各町内会の相互連絡機関として、区域内の振興発展と住民の福祉の向上を図る。</t>
  </si>
  <si>
    <t>交通安全、防犯・防火・防災、青少年育成・体育行事、女性活動、各種募金活動等</t>
  </si>
  <si>
    <t>・交通安全：街頭啓発、登下校時の子どもの見守り、迷惑駐車パトロール、高齢者交通安全講習会       _x000D_
・防犯・防火・防災：火災予防運動（街頭防火キャンペーン）、市総合防災訓練参加協力_x000D_
・青少年育成・体育行事：ミステリーバスの旅、新春カルタ会、少年少女雪中運動会_x000D_
・女性活動：交通安全母の会活動、施設見学等各種研修会・各種募金活動等：共同募金（能登半島地震義援金）等</t>
  </si>
  <si>
    <t>代表　七戸　千絵</t>
  </si>
  <si>
    <t>札幌市民の健康促進　女性のライフスタイルバランスと生涯健康</t>
  </si>
  <si>
    <t>札幌市民の健康促進と共生社会の実現に寄与することが目的。特に、女性の健康（出産子育て産後、介護）等、ライフスタイルバランスと生涯健康　多用化する社会と女性の貧困、情報社会の中で起こる困窮、精神的身体的健康を維持するための居場所づくりと継続支援。児童館、地域包括支援センター、地域支援事業との連携。介護、医療、障害など、社会的ストレスがかかりやすいサポート側専門従事者の相互の健康維持。情報の管理とコントロール。札幌市内の子育て世代を主に地域の健康、医療保健の促進。職種の維持継続</t>
  </si>
  <si>
    <t>◎ITの変革による子育てのリスクと利点◎学生起業家によるルッキルズム（見た目重視）によるコミニュケーション方法の変化◎介護看護従事者、産前産後のストレッチケア◎産前産後母親の薬剤と、子供の流行性疾患について</t>
  </si>
  <si>
    <t>代表理事　水口　綾香</t>
  </si>
  <si>
    <t>札幌市とその近郊</t>
  </si>
  <si>
    <t>令和元年12月</t>
  </si>
  <si>
    <t>札幌市に関わる全ての人に対して、災害時に命を守る行動の見通しが立つように啓発することと、防災視点で地域を支援すること、激甚化する災害やその対応について継続的にアップデートでき、高齢者・障がい者・乳幼児や妊婦・外国人・子どもなど災害時要配慮者や弱い立場の方への理解や対応のノウハウを蓄積し、健康の維持や差別・偏見といった社会課題の解消に防災目線で貢献できる人材の育成と、育成した人材のサポートを組織的に行うことで、普段から健やかにつながりあえる市民自治が進み、災害時に誰一人取り残されることなく、被害を最小に抑えながら復旧・復興を速やかに進められる、強靭で持続可能なコミュニティの形成に寄与することを目的とする。</t>
  </si>
  <si>
    <t>災害時の備えについて、市民や地域の方に啓発活動を実施しています。_x000D_
防災活動を行いたい団体のサポートや、当事者の声を大切に防災イベントや学び場を運営することで、災害時にだれ一人取り残すことがないように地域の防災に貢献しています。_x000D_
また、防災啓発者の育成や、啓発活動のサポートも実施しています。</t>
  </si>
  <si>
    <t>・2019年12月　前身となる市民団体防災したっけを設立_x000D_
・2020年　　　　子どもと家族の体験イベント「防災クエストうんちモンスターをつかまえろ！」開始_x000D_
・2022年　　　　障がい当事者の防災まなび場と災害時のつながり構築事業_x000D_
　　　　　　　　　 「防災まなびカフェまもりタイズ」立ち上げ_x000D_
・2023年　　　　「防災まなびカフェまもりタイズ」実施_x000D_
　　　　　　　　　 法人設立準備を行う_x000D_
・2024年　　　　令和5年度札幌市防災表彰受賞_x000D_
　　　　　　　　　 特定非営利活動法人防災したっけに事業を引き継ぐ</t>
  </si>
  <si>
    <t>代表　大江　裕子</t>
  </si>
  <si>
    <t>認定NPO法人芸術と遊び創造協会・東京おもちゃ美術館を母体とし、北海道のおもちゃコンサルタント取得者によって北海道支部という立ち位置で設立。北海道において、良質なおもちゃと豊かな遊びを通じて、地域社会の活性化と乳幼児から高齢者までの多世代交流に寄与するとともに、会員相互の連絡協調を図ることで、会員の資質向上に努めることを目的とする。</t>
  </si>
  <si>
    <t>団体としてはチカホ・区民センターホールなどで、年2回程赤ちゃんから大人まですべての世代の方に遊びの大切さ、おもちゃの大切さを体感してもらう場を提供している。木のおもちゃをはじめとするｸﾞｯﾄﾞ・ﾄｲに実際に触れて遊んでもらう「おもちゃのひろば」の他、家庭でも簡単にできる手作りおもちゃのWSを開催。木のおもちゃを通して木育活動も促進。その他、メンバーのおもちゃコンサルタントとしての活動をサポートしている。　又、会員や外部に向けての研修会も開催している。</t>
  </si>
  <si>
    <t>コロナ以前はチカホで、木のおもちゃをはじめとするｸﾞｯﾄﾞ・ﾄｲに実際に触れて遊んでもらう「おもちゃのひろばinチカホ」を開催。コロナ渦中からは「おもちゃであそぼう」と題し、市内の会場で2021年、2022年、2023年と開催。又その年度のグッド・トイ受賞のおもちゃを東京おもちゃ美術館より借り受け、実際に手に取り遊んでもらいグッド・トイを体感してもらうイベント「グッド・トイカフェinさっぽろ」も2021年から毎年開催している。2024年2月には保育カケル ・札幌駅前通まちづくり株式会社 ・ NoMaps実行委員会主催、ジャクエツ ・ 札幌第一こどものとも社協力のイベント「冬のチ・カ・ホのホイクシツ」にて木育・グッドトイスペースを担当。</t>
  </si>
  <si>
    <t>実行委員会代表　大内　良一</t>
  </si>
  <si>
    <t>清田区民センター</t>
  </si>
  <si>
    <t>本格的クラシック音楽のコンサートを地域に提供し、家族で気楽に楽しめることが出来るよう低廉の入場料とし、コンサート等を通じ区民相互の絆を深めるとともに文化活動の発展に寄与する</t>
  </si>
  <si>
    <t>年に１回（主に秋）のコンサート</t>
  </si>
  <si>
    <t>1997年　清田区発足時に記念の第1回を開催_x000D_
2018年　第22回_x000D_
2019年　会場一部リフォーム工事のため中止_x000D_
2020年～2023年　コロナで中止</t>
  </si>
  <si>
    <t>会長　佐藤　瞭真</t>
  </si>
  <si>
    <t>令和05年04月</t>
  </si>
  <si>
    <t>札幌市内の観光名所や歴史的な遺産などをゲームを通して学ぶことで、札幌市の魅力の理解と市民活動を活発化させることを目的とする。</t>
  </si>
  <si>
    <t>札幌市内における文化や歴史の背景がある場所をゲームを通して巡り、学びを深める活動を行っています。数人でチームを組み、運営から定期的に送られてくる写真の場所に辿り着くというゲームです。その写真から札幌市における地理的な要素や交通手段を用いて辿り着き、札幌市の魅力について理解することで、我々の目的を果たしています。</t>
  </si>
  <si>
    <t>2023年8月 Real GeoGuesserというゲームのため、札幌市の歴史的な箇所の調査_x000D_
2023年9月 Real GeoGuesser in Sapporoの開催 (学生団体Keiseiと共催)_x000D_
2023年11月 前回のゲームのフィードバックをもとに新たな札幌市の調査_x000D_
2023年12月  Real GeoGuesser Ultraの開催 (学生団体Keiseiと共催)</t>
  </si>
  <si>
    <t>会長　萩原　一利</t>
  </si>
  <si>
    <t>本連盟は、北海道の知的障害者バスケットボール団体を統轄し、バスケットボール競技を愛する知的障害者とその支援者相互の親睦と団結を図り、知的障害者バスケットボールの普及と発展に寄与することを目的とする。</t>
  </si>
  <si>
    <t>本連盟は、前条の目的を達成するため、次の事業を行う。_x000D_
１．本連盟主催の大会を開催_x000D_
２．北海道内外における各種大会の案内、並びに選手またはチームの派遣_x000D_
３．競技の普及および強化を目指した講習会や練習会の開催_x000D_
４．必要に応じた北海道あるいは札幌市代表選手の選考会の開催_x000D_
５．その他、目的を達成するための事業</t>
  </si>
  <si>
    <t>本連盟が主体となり「知的障がい者バスケットボール競技　札幌選手団」を編成し、全国障がい者スポーツ大会北海道・東北ブロック予選会に毎年参加している。_x000D_
【主な大会成績】_x000D_
・2018年度　札幌男子チーム　北海道・東北ブロック予選会で優勝。全国障がい者スポーツ大会福井大会に出場。_x000D_
・2023年度　北海道・東北ブロック予選会（札幌大会）　札幌男子・女子チームがともに2位。</t>
  </si>
  <si>
    <t>委員長　村井　隆</t>
  </si>
  <si>
    <t>幼稚園、小学校、高校、大学</t>
  </si>
  <si>
    <t>たくさんの子どもたちの夢の翼を見てみたい。_x000D_
それが私たちの願いです。_x000D_
_x000D_
心の中に遊び場を持っていますか？今、この時代を生きている子供たちにも夢中になって遊んだ時間やたくさんの思い出が詰まった夢いっぱいの公園を心の中に持ち続けてもらいたい。そしてその姿を見た大人たちにも、もう一度心の中に公園を持ってもらいたい。そのお手伝いをするための組織です。</t>
  </si>
  <si>
    <t>お出汁教室やおせち料理教室などの出前授業の開催</t>
  </si>
  <si>
    <t>2015年5月　地下鉄こども美術館_x000D_
2020年7月　新型コロナ対策支援プロジェクト_x000D_
2022年5月　和食普及プロジェクト_x000D_
2023年　小学校でお出汁教室、高校でおせち料理教室を開催</t>
  </si>
  <si>
    <t>代表　寺島　聖人</t>
  </si>
  <si>
    <t>つどーむ・屯田北児童館内体育館・学校開放</t>
  </si>
  <si>
    <t>・全国的に社会問題となっている『中学部活動問題』。_x000D_
　昨今、中学部活動の地域移行化が課題となっている中で、地域社会と連携してスポーツ環境を整備する必要性が高まっています。当クラブは、小学生で行っていたスポーツを中学生時代でも継続できる環境を創る為に設立</t>
  </si>
  <si>
    <t>・陸上クラブ：小学３年生～中学生対象_x000D_
　※週３回実施_x000D_
・VBクラブ：小学３年生～中学生対象_x000D_
　※週２回実施</t>
  </si>
  <si>
    <t>・陸上クラブ：札幌市・石狩市内の施設を使用し、週３回の活動。_x000D_
　大会出場：令和３年度北海道チャンピオンを輩出（小学５年生女子　走り幅跳び）_x000D_
_x000D_
・VBクラブ：札幌市・石狩市内の施設を使用し、週２回の活動。_x000D_
　中学生男子メンバー６名以上揃う。_x000D_
　※石狩市内や札幌市内（北区・手稲区）にて、男子バレー部が無い学校が多い為、バレーボールを行いたい中学生を救える組織となってきております</t>
  </si>
  <si>
    <t>理事長　矢口　未紗</t>
  </si>
  <si>
    <t>平成19年09月</t>
  </si>
  <si>
    <t>この法人は、広く一般市民に対して音楽や花を通じた豊かな生活づくりを提供する事業を行い　生きがいや自己実現の付与に貢献し　地域の活性化及び社会全体の利益の増進に寄与することを目的とする。</t>
  </si>
  <si>
    <t>クラシック音楽の演奏_x000D_
コンサート企画及び主催_x000D_
高齢者施設での音楽療法及び慰問</t>
  </si>
  <si>
    <t>2007年9月				_x000D_
国立音楽大学、武蔵野音楽大学出身メンバーが「クラシックを気軽に楽しく」をモットーに任意団体を設立_x000D_
2007年12月				_x000D_
音楽演奏活動が朝日新聞、読売新聞など全国紙に掲載され　初のクリスマスコンサートが満員となる	_x000D_
2008年～				_x000D_
地方公共団体主催の演奏会の企画出演、新聞社主催コンサート、商工会議所主催イベントなどに多数出演。ピアノ、ヴァイオリン、ハープ、マリンバ、フルートなど様々な楽器での構成は好評を博す_x000D_
2009年～				_x000D_
読売新聞主催のコンサートの企画出演				_x000D_
毎年1000人規模のホールでコンサートを行う				_x000D_
地域の約15万世帯に告知チラシ、新聞記事を配布し知名度を高める				_x000D_
2010年10月				_x000D_
財団法人ヤマハ音楽振興会より地域のクラシック音楽の発展に寄与した団体として認定される	_x000D_
2013年7月～				_x000D_
高齢者施設でのクラシック音楽演奏、音楽療法を始める_x000D_
2014年8月				_x000D_
特定非営利活動法人として東京都の認証を受ける				_x000D_
2021年9月			_x000D_
本店を札幌に移転し　札幌市の認証を受ける				_x000D_
2023年5月				_x000D_
新型コロナウィルス感染拡大のため　活動は休止していたが　5類移行に伴い再開_x000D_
2023年9月_x000D_
札幌市民交流プラザ3階で一般参加型ピアノ発表イベント開催_x000D_
2023年12月_x000D_
札幌市中央区・豊平館にてクリスマスコンサート開催（満席）_x000D_
2024年5月～_x000D_
発達障害児童のための音楽療法教室開催</t>
  </si>
  <si>
    <t>会長　児玉　芳明</t>
  </si>
  <si>
    <t>平成08年12月</t>
  </si>
  <si>
    <t>助け合いの精神に基づき、誰もが健康で安心して暮らしてゆくことができるよう、在宅福祉サービスや家事手伝い等の提供を行い、もって活力ある長寿社会の建設と、福祉の増進に寄与することを目的とする。</t>
  </si>
  <si>
    <t>【移送サービス（外出・通院支援）】ご希望の目的地まで移送します。院内介助なども行います。_x000D_
【家事援助】一人暮らしの方や共働きのご家庭の方など、どんな小さな事でも支援します。_x000D_
【介護・介助】家族の代わりとしてお世話します。入院患者へのケアも行います。_x000D_
【育児サポート】お子さんが病気の時に支援します。産前産後のお世話。_x000D_
【そのほか】除雪、庭木の手入れ、草とり、冬囲い、音読読み聞かせ、パソコンサポートなど。</t>
  </si>
  <si>
    <t>令和5年度（令和5年4月～令和6年3月）の活動実績_x000D_
【移送サービス】移送総件数3,401件　移送総距離21,624km_x000D_
【家事援助】1,431件【介護・介助】1,234件【育児サポート】42件【そのほか】・除雪26件・庭仕事74件・その他122件（時計の電池交換、猫の世話、犬の散歩、物置片付、車椅子修理、温泉同行、家具の組み立て、家具の移動、お墓の掃除、映画同行、花の水やり、外食同行、図書館から本を借りる、パソコン廃棄処理など）_x000D_
※フォーラム・老いを豊かにあずましく「楽しく話そうびすけっと」開催（令和6年3月）_x000D_
（倶楽部の外部への啓発と会員同士のコミュニケーションを深める）</t>
  </si>
  <si>
    <t>会長　山中　忠典</t>
  </si>
  <si>
    <t>東白石地区</t>
  </si>
  <si>
    <t>昭和39年10月</t>
  </si>
  <si>
    <t>東白石地区の発展及び地区住民の福祉の増進を図り、安全で住みよいまちをつくることを目的として設立しています。</t>
  </si>
  <si>
    <t>会員の福祉向上、健康増進、交通安全、防犯・防火などに資する下記⑴から⑹の活動を行っています。_x000D_
　(１) 各町内会（自治会）相互間の連絡調整に関すること｡_x000D_
　(２) 地域内に必要な施設及び環境の整備充実に関すること。_x000D_
　(３) 地域住民の融和と社会福祉の増進に関すること。_x000D_
　(４) 地域の環境衛生、防災、防犯、交通安全に関すること。_x000D_
　(５) 青少年の健全育成、女性の教養、文化体育の向上に関すること。　_x000D_
  (６) その他目的達成に必要な事業に関すること。</t>
  </si>
  <si>
    <t>町内会連合会の活動は、① 総会、新年交礼会の開催、②町内会長会議関係団体会議開催（毎月）、③東白石地区健康づくり教室④ 東白石ふれあいまつり、⑤ 東白石地区安心安全合同研修会（警察署との連携）、⑥東白石地区防火・防災訓練です。</t>
  </si>
  <si>
    <t>代表　三瓶　竜大</t>
  </si>
  <si>
    <t>シアターZOO</t>
  </si>
  <si>
    <t>平成30年09月</t>
  </si>
  <si>
    <t>平成30年11月</t>
  </si>
  <si>
    <t>演劇を中心とした舞台芸術作品の上演及びそれに関連するアウトリーチ事業を企画・運営し、札幌市の文化・芸術の発展に貢献するために活動する。</t>
  </si>
  <si>
    <t>演劇を中心とした舞台芸術作品の上演。_x000D_
作品創作のための稽古の実施。_x000D_
ワークショップや勉強会の開催、実施。_x000D_
地域に開いたアウトリーチ活動や創作活動。_x000D_
他地域・他分野の人材とのマッチングや交流。</t>
  </si>
  <si>
    <t>第4回公演『おもり』  TGR札幌劇場祭2019 「新人賞」（2019年）_x000D_
全国学生演劇祭参加作品『ここにいて、』  全国学生演劇祭「最優秀賞」（2021年）_x000D_
おうさか学生演劇祭vol.15参加作品『ゆうむすぶ星』にて「最優秀劇団賞」（2022年）_x000D_
第10回公演『さるヒト、いるヒト、くる』　CoRich舞台芸術まつり！　せんがわ劇場演劇コンクール「最終審査進出」（2024年）</t>
  </si>
  <si>
    <t>子どもから大人までが安心して暮らせるまち、明るく子育てができるまち、住んでいる喜びを実感できるまちを目指し、住民自治の精神のもと地域内はもとより地域外の住民、団体とも連携しながら、自らが率先してまちづくりを実践することを目的としています。</t>
  </si>
  <si>
    <t>当団体は、町内会連合会、社会福祉協議会、民生委員児童委員協議会、青少年育成委員会、交通安全実践会、交通安全母の会、日赤奉仕団など地域の団体の連携により、様々な活動を行うための組織です。毎年度、事業計画を立てて、地区での連携した取組みを推進しています。設立目的を達成するため以下の５つの事業を行っています。_x000D_
　・　地域安心安全ステーション整備事業〔東白石安心安全パトロール隊〕_x000D_
　・　地域主体の子育てサロン事業〔にこにこサロン〕_x000D_
　・　東白石児童会館と地域との連携によるまちづくり事業〔こらぼDEトンパーク〕_x000D_
　・　ぬくもりのある地域の絆事業〔ふれあい友(You)＆愛(I)〕_x000D_
　・　区域内会報誌「東白石通信」の発行事業〔とんぱくニュース〕</t>
  </si>
  <si>
    <t>・東白石安心安全パトロール隊：４月から１１月に、青色灯装着車によるパトロールと徒歩パトロールを夜間に実施するほか、安心安全の啓発活動や特別警戒パトロール等を実施しています。_x000D_
・にこにこサロン：本郷小学校のミニ児童会館でのにこにこサロン、旭町会館でのぴかぴかサロンを開催しています。このほか、日赤奉仕団や青少年育成委員会とともに東白石児童会館の子育てサロンに協力しています。_x000D_
・こらぼDEトンパーク：森にまなぶ（夏のキャンプ）、新春もちつき大会、雪とあそぼうなど、地域の子どもを対象としたイベントを実施しています。_x000D_
・ふれあい友(You)＆愛(I)：一人暮らしの７５歳以上の高齢者の生きがいづくりや見守りにつながるよう、ふれあい入浴ツアーや小学生との交流会、ご自宅にプレゼントを持って訪問する友愛訪問などを実施しています。_x000D_
・とんぱくニュース：地域の活動などを周知するための広報誌を毎年１回発行しています。</t>
  </si>
  <si>
    <t>代表　守屋　かづな</t>
  </si>
  <si>
    <t>札幌市内（渡辺淳一文学館ホール・札幌時計台ホール）、江別市内（カフェ施設）</t>
  </si>
  <si>
    <t>令和05年06月</t>
  </si>
  <si>
    <t>守屋ファミリーによる音楽・舞踊のエンターテイメント集団。札幌市を拠点（ほか江別市など）に、ピアノ・歌・舞踊や、クラシックから現代ポップスまで、幅広いジャンルの表現活動を行う。コンセプトは「老若男女、年齢、国籍、障がいの有無に関わらず、誰もが音楽を楽しみ、ココロもカラダも元気になる!!」こと。国内外で活動してきた経験を活かし、北海道から世界中を愛と音楽で包み込みます♪_x000D_
また、メンバー自身がサバイバー（様々な原因から生じた傷を、心や身体に負っても、懸命に生き延びている人）であり、同じくサバイバーである方や、サバイバーを支援する団体の方を元気に勇気づける活動を行うことを札幌市を拠点に行っていきます。同時に、社会の表側に発信されにくい社会課題などをより広く認知させ、活動団体自体の認知向上を目指し、健常に生活している方の予防となる音楽を通じた社会課題の啓発啓蒙にも力を入れて活動します。_x000D_
団体目的をまとめると、_x000D_
　① オール・モーリヤの音楽表現を求心力に、多くの人の興味関心を集める_x000D_
　② 社会課題の認知向上、社会課題解決に取り組む団体の認知向上に寄与する_x000D_
　　（例：代表がDV被害サバイバーであるため、DV予防・児童虐待防止・メンタルケアなど）_x000D_
　③ 札幌市民のウエルビーイング向上に寄与する</t>
  </si>
  <si>
    <t>テーマ性を持つコンサートの開催_x000D_
音楽を楽しむ・親しむ無料オープンマイク企画_x000D_
イベント等への出演</t>
  </si>
  <si>
    <t>9/30（土）：月とピアノのミニコンサート～はじまりはエベツ、守屋家のプロローグ～_x000D_
11/11（土）：鳥とピアノのミニコンサート～はじまりはエベツ、守屋家のプロローグ～_x000D_
12/22（金）：札幌市内ドッグカフェ主催クリスマスコンサート出演_x000D_
1/28（日）：無料オープンマイクの開催_x000D_
3/20（水・祝）：花とピアノのミニコンサート～はじまりはエベツ、守屋家のプロローグ～_x000D_
5/18（日）：風とピアノのミニコンサート～はじまりはエベツ、守屋家のプロローグ～</t>
  </si>
  <si>
    <t>代表　川田　由紀</t>
  </si>
  <si>
    <t>札幌市内近郊</t>
  </si>
  <si>
    <t>令和04年12月</t>
  </si>
  <si>
    <t>代表が自身の双子育児から様々な事情で子どもと出掛けづらくこもってしまうという孤育てを無くしたいと考え、子どもが沢山いても、走っても寝転んでも親子ともに安心して出かけられる場所を作りたいと設立。_x000D_
ママを応援したいスタッフ、事業者とサービスを利用したいママを繋ぐ役目も担う。_x000D_
地域の子育ての活性化を図り、ママだけではなく皆で子どもを育てていく事を提案。</t>
  </si>
  <si>
    <t>厚別を中心に毎月ママの輪カフェという名の交流会を開催。_x000D_
子連れでもスタッフがいる事で余裕ができお話を楽しんだり、出店のサービスを受けたりすることが出来る。_x000D_
ママを応援したい人たちの活動の後押しも行っている。_x000D_
スタッフの中には、専門職もいて子育ての相談等も行っている。</t>
  </si>
  <si>
    <t>令和5年12月　ママの輪クリスマスマルシェ　48名が参加。_x000D_
令和6年3月　ママの輪スプリングマルシェ、インクルーシブな空間を作り、大人も子どもも楽しめるイベントとなる。参加者120名中子ども参加が42名。_x000D_
令和6年5月より、毎月第4木曜日、ママの輪カフェという交流を目的としたイベントを開催。</t>
  </si>
  <si>
    <t>理事長　安部　祥太朗</t>
  </si>
  <si>
    <t>令和05年09月</t>
  </si>
  <si>
    <t>当法人は、情報端末を活用して学習を進めようとする方や教育をする方に対して、青少年の健全な育成、情報化社会の発達、電子機器の使用促進、コミュニケーションの促進、創作活動の支援、社会教育の推進、学術の振興に関する事業を行い、青少年の発達及び社会全体の発展に寄与することを目的とする。</t>
  </si>
  <si>
    <t>デジタルを活用して、一人一人がより良い教育を受けられ、学習できるようなサービスを提供している。GIGAスクール構想によって整備されたChromebook等の一人一台端末に足りない機能を補完するツールを提供したり、デジタル機器の使用支援を行っている。_x000D_
Rental Server for Students事業を行い、Webサイトを開発・提供したい学生の支援を行ったり、教育に携わる人のニーズに合わせ、情報の発信やサービスの制作と提供を行っている。</t>
  </si>
  <si>
    <t>■SETB HP/Apps の継続提供_x000D_
2021年6月から現在まで更新を続けており、当法人の主な事業となっている。_x000D_
■その他事業_x000D_
現時点では、スポーツチームの出席確認システムの構築、札幌保護観察所管内の各保護司会のHP制作等を行っている。_x000D_
2023年9月にNPO法人化した。</t>
  </si>
  <si>
    <t>代表理事　釜澤　剛璽</t>
  </si>
  <si>
    <t>令和04年10月</t>
  </si>
  <si>
    <t>フードバンク活動を通じて社会的に支援する活動や食を大切にする文化の促進活動を行い、地域の福祉環境の向上と食料自給率の向上に寄与する。</t>
  </si>
  <si>
    <t>「Believe in people's potential and solve social problems（人の可能性を信じて社会問題を解決する）」をビジョンに障がい者・難病者・出所者・シングルマザーなどの人材に対し、就職支援の取り組みを進めてきました。今回より幅広い支援を行うため「一般社団法人フードバンクセンター」を発足し、コロナ禍において働くことがままならない、また経済的な事情で日々の食事に困っている方々の食料を提供することにより、充実した職業訓練、就職活動を支援致します。</t>
  </si>
  <si>
    <t>毎月最終週火曜日にフードバンク食料配布会を行い、約50名程参加を頂き、少ないながらも食料配布を行い、経済的な事情で日々の食事に困っている方々に喜ばれている。</t>
  </si>
  <si>
    <t>代表理事　春原　啓慶</t>
  </si>
  <si>
    <t>令和06年04月</t>
  </si>
  <si>
    <t>令和05年07月</t>
  </si>
  <si>
    <t>当法人は、会員相互の創意工夫と連携のもと、地域の資源を生かしながら、篠路地域の賑わいと活力のあるまちづくりを進める</t>
  </si>
  <si>
    <t>（1）地域おこしやまちづくりイベント等、歴史、伝統、文化、自然、人を生かしたまちづくり事業_x000D_
（2）子どもの健全育成及び生涯学習の推進を図る事業_x000D_
（3）地域活動の支援事業_x000D_
（4）まちづくりに関連する他団体からの受託事業_x000D_
（5）篠路地域に関する各種行政計画の実現に資する事業_x000D_
（6）その他当法人の目的を達成するために必要な事業</t>
  </si>
  <si>
    <t>【令和5年度　前身：篠路を楽しむ会・SHINORO open！Meetingでの活動】_x000D_
7月「篠路コミュニティセンター夏祭り」の支援、8月「篠路連合町内会夏祭り」の支援_x000D_
9月「第1回篠路東口駅前フェス」の実施、10月「篠路まち歩き　藍LOVEしのろ‼」の実施_x000D_
2月「しのろ紙袋ランターンまつり」の支援_x000D_
【令和6年度　一般社団法人まちづくり篠路での活動】_x000D_
7月「篠路コミュニティセンター夏祭り」での歴史・文化の展示、開催支援_x000D_
8月「篠路新生町内会」・「篠路連合町内会」の夏祭りの支援_x000D_
8月「第2回篠路東口駅前フェス」の実施</t>
  </si>
  <si>
    <t>代表理事　柴田　奏</t>
  </si>
  <si>
    <t>北海道における市民の意思に基づく市民主体の対話によるまちづくりのために、プロや専門家ではなく、地域に住み続ける市民に対して、まちの話し合いの場にファシリテーションの視点を持って場をつくっていく人材を育て、全道域のネットワークでつながり、自分たちのまちのことを自分たちで話し合い、行動していく市民自治に寄与することを目的とする。</t>
  </si>
  <si>
    <t>北海道市民ファシリテータープラットホームの運営、道内市町村やNPO等から受託・依頼を受け、ファシリテーション講座の開催やワークショップ進行等、市民ファシリテーターガイドブックの発行・販売</t>
  </si>
  <si>
    <t>・市民ファシリテーターガイドブックの製作（2024年3月）_x000D_
・丘珠空港周辺地域まちづくり構想に関するワークショップ全体進行（2024年度）_x000D_
・第2次札幌水道ビジョン策定に関する市民ワークショップ全体進行（2023年度）_x000D_
・札幌市まちづくり戦略ビジョンワークショップ全体進行（2021年度）_x000D_
・道内にて市民ファシリテーター養成講座（恵庭市・中標津町・芽室町・上富良野町／2021年〜現在）_x000D_
・登別市行政職員研修（登別市／2016年～現在）</t>
  </si>
  <si>
    <t>委員長　加賀谷　弘道</t>
  </si>
  <si>
    <t>西区琴似及びその周辺（琴似・二十四軒・八軒等）</t>
  </si>
  <si>
    <t>令和06年12月</t>
  </si>
  <si>
    <t>明治8年（1875年）に琴似に最初の屯田兵村がおかれてから、令和7年に150年が経過する。一方で、琴似ではマンションなどの建設も続き、新たに移り住んできた方も数多くいることから、琴似が屯田兵の入村したマチであることを知らない世代も増えている。_x000D_
150周年という大きな節目に屯田兵入村150周年を記念するお祭りなどを実施して、改めて我々のまちや屯田兵、北海道の歴史に思いをはせ、現在・将来を考える良いきっかけとしてもらいたいと考え、また、琴似や西区全体が150周年をきっかけにこれまで以上に盛り上がることを狙いとして、実行委員会を立ち上げイベント開催等を計画している。</t>
  </si>
  <si>
    <t>■実行委員会主催事業_x000D_
○お祭りの実施_x000D_
令和7年7月20日（日）、21日（月・祝日）、琴似神社にて実行委員会主催のお祭りを開催予定。屋台出店やステージイベントに加え、屯田兵に関するコンテンツ（屯田兵に関する史跡スタンプラリーや、屯田兵の制服を着てのフォトスナップやSNS発信コーナー）や共に札幌の地で暮らしていたアイヌの方に関するコンテンツなども検討中。また、お祭りにて、後述の実行委員会構成団体主催事業や琴似屯田子孫会主催事業の広報を実施。_x000D_
○150周年を記念した商品の作成_x000D_
琴似エリアのスイーツ店に協力を仰ぎ150周年記念スイーツの作成や、他にもオリジナルラベル日本酒の作成などを検討中。_x000D_
_x000D_
■実行委員会構成団体主催事業_x000D_
○イベントの開催など_x000D_
構成団体各自で琴似屯田兵入村150周年記念事業を冠したイベントを実施。実行委員会がハブとなりイベントの情報共有をし、各構成団体実施イベントをリンクさせて新しいコンテンツを生み出す、相互に広報していくなどの相乗効果も図っていきたい。_x000D_
_x000D_
■琴似屯田子孫会主催事業_x000D_
150周年を記念して琴似屯田子孫会では、150周年記念式典・祝賀会、歴史講演会、屯田兵パレード等を実施検討中。</t>
  </si>
  <si>
    <t>10年前（平成27年）に、琴似屯田兵入村140周年記念事業実行委員会を設立し、歴史講演会・歴史劇上演・屯田トークサロンを実施した。参加者数が想定を大きく上回るとともに、参加者からは「郷土のルーツを知ることができ、私たちも琴似のまちを良くしていかなければならないと思った」といった感想をいただくなど、大きな事業効果があった。また、事業の実施に当たっては、町内会を中心に地域の商店街や文化施設などが協力して進めたほか、「琴似屯田140周年記念」を掲げた関連事業が地区内各所で繰り広げられた。このように、琴似地区で活動する異なる主体の連携が強化されたことにより、地域イベントの開催に向けた気運が高まるなど、その後のまちづくり活動の活性化に向けて、大変高い効果があったものである。_x000D_
_x000D_
150周年に向けては、琴似屯田子孫会が中心となり、コロナ禍明けから150周年記念式典・祝賀会、歴史講演会、屯田兵パレード等の実施をこれまで検討してきた。一方で琴似屯田子孫会にはお祭り等の実施に関するノウハウがなく、琴似屯田子孫会が高齢化していることもあり、商店街等の若い方々を巻き込んで実施した方が良いということで、琴似屯田子孫会より実行委員会の設立の要望があり、今回の設立に至ったものである。</t>
  </si>
  <si>
    <t>代表　川嶋　伸弘</t>
  </si>
  <si>
    <t>札幌市豊平区民センター内</t>
  </si>
  <si>
    <t>昭和54年04月</t>
  </si>
  <si>
    <t>社交ダンスを行うことで、身体を動かすことにより筋力の衰えが防止でき、また、人と会うことにより、ダンスでのコミュニティーで対人関係を育むことができ、更には音楽やリズムを意識して踊ることで知的行動が自然とできるようになり、人生の生き甲斐を築くことを目的とする。</t>
  </si>
  <si>
    <t>札幌市豊平区民センター内の会場を使用して、月４回を基準に講師を招いて社交ダンスを行っています。会員は高齢者の方が多いので、ダンスステップの順番を覚えるのに苦労している方もいらっしゃいますが、講師により分かりやすく教わり、社交ダンスが楽しく踊れるよう努めています。また、フレイルの予防にも役立っています。</t>
  </si>
  <si>
    <t>令和５年４月～令和６年３月：月４回を基準に社交ダンスを開催_x000D_
令和５年１１月：豊平区民センター祭開催時に社交ダンスパーティー部門を担当し、豊平区民センター祭の開催に貢献_x000D_
令和６年４月～現在：前年度と同様に月４回を基準に社交ダンスを開催</t>
  </si>
  <si>
    <t>代表理事　伊藤　真哉</t>
  </si>
  <si>
    <t>一般社団法人fanfareは、社会や地域が抱えている様々な問題や課題に対して、「自信」と「安心」を育て、様々な社会的課題を解決することで関わる人全てが未来に希望を持てる社会の実現を目指し、一人ひとりが想いをカタチにできる社会の実現へ寄与することを目的とする。</t>
  </si>
  <si>
    <t>障害福祉と社会とのグラデーションをつくるイベント企画やコミュニティ運営を中心に行っている。_x000D_
こどもたちの「好き」を「自信」に繋げ、障害という言葉が持つバイアスをなくすための、吾輩は画家である絵画展の実施。また障害福祉サービスをより多くの市民の方に知っていただくための、EXCITEという児童福祉サービスのプレゼン大会。難病当事者を講師に招いた講演会の企画など。_x000D_
また、札幌市の障害福祉の認知度の向上と横のつながりを形成するために、障害福祉に興味を持つ業界を問わない有志で集まったコミュニティの運営。</t>
  </si>
  <si>
    <t>2021年2月〜　吾輩は画家である絵画展（過去9回実施）_x000D_
2021年6月〜　EXCITE-福祉は、もっとおもしろくなる-（過去3回実施）_x000D_
2023年5月　　 落水洋介講演会 「難病がくれた宝物 〜難病という翼を得て〜」 主催_x000D_
2023年8月　　 福祉バーナーズ（障害福祉コミュニティ）発足（ミートアップ・イベント等13回開催）_x000D_
2024年9月　　 NoMaps2024　DE&amp;Iカンファレンスにてトークセッションを企画</t>
  </si>
  <si>
    <t>会長　平塚　清吉</t>
  </si>
  <si>
    <t>さつき盆栽の育成及び栽培技術の向上を推進し、札幌の緑化や文化発展等のまちづくりに寄与すると共に本州とは異なる寒冷地ならではの栽培手法の継承を目的とする。</t>
  </si>
  <si>
    <t>札幌市が緑化推進事業の拠点とする「豊平公園　みどりのセンター」及び「百合が原公園　百合が原みどりのセンター」にてさつき盆栽の展示会を行い、伝統文化や寒冷地での栽培技術についての啓蒙普及に取り組んでいる。また、市内全域に散らばる会員宅等において、剪定・整枝技術の鍛錬等技術のレベルアップを図り、市内の緑化推進等に貢献すべく活動している。</t>
  </si>
  <si>
    <t>令和４年～６年の直近３年_x000D_
【花 季 展】　５～ ６月　「豊平公園」及び「百合が原公園」にて年各１回_x000D_
【秋 季 展】　　　 ９月　「豊平公園」にて年１回_x000D_
【研 修 会】　４～ ９月　年５回_x000D_
【会報発行】 １～10月 年５回</t>
  </si>
  <si>
    <t>代表理事　高橋　智美</t>
  </si>
  <si>
    <t>西区、豊平区、白石区、中央区</t>
  </si>
  <si>
    <t>令和04年06月</t>
  </si>
  <si>
    <t>年齢、性別、障がい、国籍などのあらゆる違いに関わらず、互いを尊重し、誰もが過ごしやすい地域をつくることで、何歳になっても自分らしく生きられる社会を目指すことを目的として設立。_x000D_
また、地域課題を解決しながら自分たちが安心して過ごせる街を目指している。</t>
  </si>
  <si>
    <t>【居場所事業】　フリースクール、高齢者の地域サロン_x000D_
【生活支援事業】介護保険や障害福祉サービスを受けることができない、または制度で対応することのできない生活の困りごとを解決（病院同行や買い物支援など）_x000D_
【地域活性事業】料理教室や木工、自然観察などの体験イベント、地域サロン、支援者交流会の実施、駄菓子屋、駄菓子屋BAR、子ども食堂の実施</t>
  </si>
  <si>
    <t>【居場所事業】令和5年11月よりフリースクールしるべーす円山基地開設、不登校親の会の開催（月1回）、令和6年4月より、学生主体による学習支援の場「つながいずむ」の開催（月1回）、令和6年9月には、NPO法人つながりとの共催で、子育て中の親の交流の場「ママの夜会」を開催した。また、令和6年6月には主に高齢者を対象とした地域サロン（月1回）を開始。_x000D_
【生活支援事業】令和4年9月開始、趣味のお相手や電球交換、外出同行、除雪、草刈り、家具の移動等、利用件数は延べ300件以上。_x000D_
【地域活性事業】令和6年7月より駄菓子屋の開設（週1回）、令和6年12月より地域食堂を開催（月1回）。食事前に学生ボランティアによる学習支援の時間も設けており、延べ26名が参加。ほか、イベント事業複数回実施。</t>
  </si>
  <si>
    <t>代表　金野　智和</t>
  </si>
  <si>
    <t>令和元年05月</t>
  </si>
  <si>
    <t>（１）仮想のまちづくりを通して、これからの未来を担う子どもたちの自主性・協調性・個性を伸ばすきっかけを提供すること_x000D_
（２）多角的な視点で物事を考えられるボランティア、地域の中で主体的に活動できるボランティア、 子どもたちなどの他者を様々な選択肢の持てる人に育てることのできるボランティア・若者を育成すること。_x000D_
（３）企画運営を行う大学生・高校生・若者等の自主性・企画力の向上を図り、各人のスキルアップにつなげること。</t>
  </si>
  <si>
    <t>（１）どさんこマーブルタウンに関する会議_x000D_
（２）どさんこマーブルタウンに関する準備_x000D_
（３）どさんこマーブルタウンの運営_x000D_
（４）各地マーブルタウンの運営補助</t>
  </si>
  <si>
    <t>2019年５月15日　　　　 団体設立_x000D_
2019年11月９日・10日　どさんこマーブルタウン初開催_x000D_
2023年９月16日・17日　どさんこマーブルタウンinサツドラFES2023開催_x000D_
2024年３月10日　        どさんこマーブルタウンinあびら開催_x000D_
2024年８月24日・25日　どさんこマーブルタウンin環境広場さっぽろ2024開催_x000D_
2024年11月30日・12月１日　どさんこマーブルタウン2024開催_x000D_
その他、月１回程度ミーティングを開催</t>
  </si>
  <si>
    <t>代表理事　秀嶋　ゆかり</t>
  </si>
  <si>
    <t>札幌市全域・札幌近郊</t>
  </si>
  <si>
    <t>虐待・貧困など様々な事情を背景に、家族に頼れない子ども・若者たちがいる。なかでも、既存の社会制度に当てはまりづらい子ども・若者たちは非常に孤立しやすい。そのような方たちの孤立を防ぎ、緩やかにつながり、寄り添いながら自立を支援する。その支援を通じて若者が自らの力を活かし、尊重されて生きていける地域社会づくりに寄与することを目的としている。</t>
  </si>
  <si>
    <t>・子ども・若者を対象とした地域の居場所『ピッケノハコ』運営（土日を含めて週6日開設）_x000D_
・相談支援（電話、SNS、面談等）、同行支援（区役所、病院、サポステ等）_x000D_
・学習支援、就労支援_x000D_
・他機関との連携　など</t>
  </si>
  <si>
    <t>・2004年～　電話相談・同行・生活支援をはじめる_x000D_
・2009年　NPO法人化_x000D_
・2010年～2019年　自立援助ホーム運営_x000D_
・2021～2024年　札幌市「困難を抱える若年女性支援事業」の一部を受託</t>
  </si>
  <si>
    <t>代表　戸城　美津子</t>
  </si>
  <si>
    <t>月寒公民館、身体障害者福祉センターなど</t>
  </si>
  <si>
    <t>平成12年07月</t>
  </si>
  <si>
    <t>「DPI（障がい者インターナショナル）世界大会」レセプション出演をきっかけに発足した和太鼓サークルです。すべての人の心の壁を取り除き共に生きていくことを大切にしたいと願って活動しています。</t>
  </si>
  <si>
    <t>現在6歳から50代までの障がい者とその家族44名のメンバーが在籍し、新芸能集団「乱拍子」の指導のもと、村場流八丈太鼓の他獅子舞と手作り太鼓の練習をしています。_x000D_
月2回土曜日に公民館などで練習しています。_x000D_
乱拍子主催のイベントや福祉施設、地域の行事、障がい者団体の行事などでボランティア公演をしています。またサークル結成の周年記念には自主公演を行ってきました。</t>
  </si>
  <si>
    <t>2000年7月日本初「障がい者インターナショナル」レセプション出演_x000D_
2001年全国知的障害養護学校PTA連合会レセプション_x000D_
2002年第6回障がい者インターナショナル歓迎レセプション_x000D_
2004年PTA全国大会レセプション　第1回太鼓の集いin芸術の森_x000D_
2009年結成10周年公演inやまびこ座　_x000D_
2011年東日本大震災復興支援「子どもを守ろうよ」の会出演（〜2024年）_x000D_
2012年自閉症協会全国大会出演_x000D_
2015年サルサガムテープin旭川公演_x000D_
2016年サークル結成15周年公演_x000D_
2018年ほくでんアソシエカルチャーナイト出演（〜2024年）アビリンピック北海道大会（〜2024年）など多数</t>
  </si>
  <si>
    <t>代表理事　桑原　さやか</t>
  </si>
  <si>
    <t>札幌市、北広島市</t>
  </si>
  <si>
    <t>令和05年08月</t>
  </si>
  <si>
    <t>学校へ行かない選択、学校生活・対人関係に不安を抱える子どもたち及びその家族に対しての居場所の運営に関する事業を行います。社会活動や体験学習提供者としてあらゆる経験を持つ大人の活動拠点、子育て世代への支援業務・交流の場の推進をとおして、多様な教育の選択肢と意欲的に学べる環境の提供、健全な心の成長の支援することを目的とする。</t>
  </si>
  <si>
    <t>不登校、学校生活・対人関係に不安を抱える子どもたちとその家族に対しての居場所の運営等をしています。_x000D_
登校の子どもの居場所（フリースクール）「いきばしょ」、不登校の保護者や子どもが学び交流する「トーキョーコーヒー（登校拒否のアナグラム）」、地域の子どもと大人が食事を通し交流できる地域食堂「nicon食堂」、SDGｓの一環として衣類等の循環業務を行い貧困家庭や貧困国（ラオス）へ支援する「ふくめぐり」の４つの事業を行っています。</t>
  </si>
  <si>
    <t>令和4年4月　フリースクール「いきばしょ」開始。現在毎週に2回開催。_x000D_
令和4年6月　服の循環事業「ふくめぐり」開始。現在毎月1回実施。_x000D_
令和4年8月　不登校の親子の活動場所「トーキョーコーヒー」開始。現在毎月に1回実施。_x000D_
令和5年6月　地域食堂「nicon食堂」開始。現在毎月1回開催。_x000D_
令和6年9月　不登校への理解を広める講演会「吉田田タカシトークライブ」開催</t>
  </si>
  <si>
    <t>代表  渡辺 義人</t>
  </si>
  <si>
    <t>札幌市内全域及び近郊</t>
  </si>
  <si>
    <t>令和05年05月</t>
  </si>
  <si>
    <t>音楽を中心としたアーティストによる社会貢献性の高い活動(イベント等)を通して、誰もが助け合い楽しみ合えるインクルーシブな社会への一助となる。</t>
  </si>
  <si>
    <t>・地域福祉団体など専門分野の皆さまと協力し、芸術が届きにくい方々(主に重症心身障がい児者、発達障がい児者等)へ向けたイベント、訪問演奏や体験プログラムなどを開催。_x000D_
・災害支援および被災地支援団体の協力により「募金先の活動が見える、学べる」チャリティイベントを開催。地域の防災意識向上や、有事に備えたコミュニティ形成を目指す。_x000D_
・社会貢献に取り組みたい潜在的なアーティスト人材の発掘。</t>
  </si>
  <si>
    <t>2023年5月 フードドライブ応援イベント「Food On Drive vol.1」開催。_x000D_
2023年11月 こども食堂応援イベント「Food On Drive vol.2」開催。_x000D_
2024年1月〜現在「能登半島地震・豪雨災害チャリティ投げ銭ライブ」を月1回開催、継続中。_x000D_
2024年5月 障がい児者およびご家族をターゲットとした体験型ライブイベント「みんなで演奏会」開催。_x000D_
2025年1月〜2月 重症児デイサービスへの体験型訪問演奏会を2回開催。(全3回)</t>
  </si>
  <si>
    <t>代表　敦賀　顕子</t>
  </si>
  <si>
    <t>札幌市内（主に生活クラブ生協本部内）</t>
  </si>
  <si>
    <t>私たちは雇用・非雇用の関係ではなく、協同組合の精神に基づいた「全員で出資・経営・労働するワーカーズ・コレクティブ」という働き方で事業を行います。_x000D_
また、働き方を通して生活を自治し、多くの仲間と連携しながら豊かな地域社会づくりをめざします。</t>
  </si>
  <si>
    <t>・編集、企画（印刷物、イベントの開催、HP、動画作成等）_x000D_
・地域活動および地域サロン等の情報発信_x000D_
・地域サロンの運営_x000D_
・デジタル支援_x000D_
・地域団体との連携</t>
  </si>
  <si>
    <t>・地域サロン情報誌「ちさろ」作成および無料配布（年２回　各４０００部）_x000D_
・市民対象に地域サロンを広報するイベントの開催支援（企画～当日の運営を担当）_x000D_
・スマホ無料相談会（札幌チカホにて）_x000D_
・卓球カフェをNPO法人ふくろう清田と共同運営（毎月１回開催）_x000D_
・生活クラブ生活協同組合、北海道ワーカーズ・コレクティブ等、非営利団体の機関紙等を作成_x000D_
・札幌市在宅福祉団体ネットワークの構成団体として、交流会など福祉団体の連携活動を行う</t>
  </si>
  <si>
    <t>代表　松本　直子</t>
  </si>
  <si>
    <t>北海道（札幌）</t>
  </si>
  <si>
    <t>育児中の家族支援団体として設立。特に、最初の難関でもある[産後]「イヤイヤ期」に焦点をあてています。「産後」は夫婦が変化する一番のイベント。「イヤイヤ期」は子どもの成長に欠かせない大切なプロセスではありますが、多くの親がこの時期を「試練」や「苦労」 として捉え、悩み、孤独を感じることが少なくありません。_x000D_
私共は、そんな「家族の変化」「イヤイヤ」の瞬間を 「夫婦の絆深め」「子どもの輝く個性」 として捉え直し、親たちが共感し合い、笑い合える場を創るために生まれました。その後のプレ思春期、思春期も同じく、大人の場としてだけでなく、こどもの場、さらには夫婦の場としても展開して参ります。</t>
  </si>
  <si>
    <t>「イヤイヤ期」をネガティブに捉えるのではなく、子どもの成長の証として楽しむ文化を社会に広めるために活動しています。親同士が共感し、支え合いながら、子どもとの時間をポジティブに過ごせる場を提供します　1. 反コレ展覧会の開催/「イヤイヤ期」のリアルな瞬間を集めた写真展を各地で開催。2. 子育てコミュニティの運営/夫婦同士が悩みや喜びを共有できるオンライン・オフラインの交流の場を提供。3. 「イヤイヤ期」啓発・情報発信/「イヤイヤ期＝成長の証」という考えを広め、育児の負担を軽減する情報を発信。4. 夫婦のパートナーシップを深める活動/育児において、「夫婦の協力」が鍵となります。反コレ展覧会では、 夫婦がより良いチームになれるようサポートするための活動も行っています。</t>
  </si>
  <si>
    <t>✅#反コレ展覧会（イヤイヤ自己主張期のお写真情報展）_x000D_
「イヤイヤ期＝成長の証」と捉え、親たちが共感し合える写真展を開催_x000D_
開催回数：ミニ展示も合わせると10回以上_x000D_
累計来場者数：2,000人以上_x000D_
累計展示写真数：70点以上_x000D_
✅ こそだてvillage（夫婦だけでなく、親同士がつながり、支え合える場 ）_x000D_
✅ トゥギャザーズ大作戦：夫婦のパートナーシップ向上ワークショップ_x000D_
開催後の反響/ 「うちの子だけじゃないと分かって安心した！」/ 「イヤイヤ期を笑って受け入れられるようになった！」</t>
  </si>
  <si>
    <t>代表理事　納田　真弓</t>
  </si>
  <si>
    <t>札幌市内を中心とした北海道全域</t>
  </si>
  <si>
    <t>令和06年11月</t>
  </si>
  <si>
    <t>北海道内にて飼い鳥の保護活動をする団体がなく、鳥の寿命が長いこともあり、高齢化社会の中でお世話ができなくなった、孤独死により鳥が取り残されてしまった、またアレルギーを発生しお世話ができなったなど、様々なケースがあり、新しいご家庭で天寿を全うできるよう、生活環境の改善やリハビリをし、また譲渡後もアフターフォローしながら、鳥と人とが幸せに生きていくことのできる北海道を目指しています。</t>
  </si>
  <si>
    <t>(1) 飼育困難となった鳥の引き取り_x000D_
1 飼い主の事情によるもの(病気、死亡、高齢等)_x000D_
2 鳥の問題行動によるもの(鳴き声等)_x000D_
(2) 里親の選定、譲渡_x000D_
1 引き取りした鳥の健康診断_x000D_
2 傷病鳥の治療とリハビリ_x000D_
3 適切な里親の募集と選定_x000D_
4 里親との譲渡契約、譲渡後のフォローアップ_x000D_
(3) 啓発活動_x000D_
1 飼い鳥の飼育に関するアドバイス、サポート_x000D_
2 動物愛護の普及</t>
  </si>
  <si>
    <t>2018年　引取　1羽　譲渡　1羽_x000D_
2022年　引取　3羽　譲渡　2羽_x000D_
2023年　引取　2羽　譲渡　1羽_x000D_
2024年　引取　18羽　譲渡　8羽　（8月　孤独死により10羽レスキュー）_x000D_
2025年　引取　4羽　譲渡0羽 （1月　孤独死により2羽レスキュー　2羽飼い主の高齢化によりご家族による持込）</t>
  </si>
  <si>
    <t>理事長　林　孝之</t>
  </si>
  <si>
    <t>厚別区及び周辺地域</t>
  </si>
  <si>
    <t>この法人は、少子、高齢、無縁化現象の著しい厚別区もみじ台地域において、その活力が疲弊し
ている状況を憂い、住民の自主、自立性を高め、機能的な地域社会の仕組みつくりを支援し、関係
機関、団体と連携し、新しい公共の担い手となって生きがいとふれあい、安全、安心なまちづくりに
寄与することを目的とする。</t>
  </si>
  <si>
    <t>所属する自治会や団体を超えた住民相互のつながりづくり、孤立予防活動の企画実施、住民のつ
ながりづくり、孤立予防に資する活動への支援を通じたまちづくりへの寄与。</t>
  </si>
  <si>
    <t>（令和６年度実績）
_x000D_
・５月、家庭菜園畑起こし活動の支援。_x000D_
・通年、つながりづくり活動（パソコン教室）運営支援。_x000D_
・１１月、孤立予防サロン運営（土曜日のシニアサロン）</t>
  </si>
  <si>
    <t>副チーム長　岩沢　範子</t>
  </si>
  <si>
    <t>主に札幌市内全域及び北海道全域</t>
  </si>
  <si>
    <t>北海道における社会的養護経験者と今まで社会資源に繋がっていなかった「親を頼れないすべての子どもたち」が笑顔で暮らせる社会へ、という思いから、2004年に東京都で創立された団体の北海道事業所として設立。</t>
  </si>
  <si>
    <t>児童養護施設の子ども、職員等を対象に社会への自立支援事業、コンサルティング事業、セミナー・就業体験事業の開催を通して支援を行っています。_x000D_
  児童養護施設や里親家庭で暮らす子ども、施設を対処した若者、親を頼れない子どもたちの社会的な自立「巣立ち」をサポートしています。また、一人暮らしをするためのセミナー開催、孤立を防ぐための居場所づくり、同じ悩みを持つ若者同士のシェアハウス運営などに取り組んでいます。</t>
  </si>
  <si>
    <t>●2022年から毎年高校3（4）年生を対象に自立を準備するセミナー（8月～翌年1月迄の年6回）を毎年開催_x000D_
●居場所を中心に季節のイベントや若者交流の場の提供_x000D_
●2024年6月に若者の居場所「PORTさっぽろ」を開所、予防的支援として相談受付_x000D_
●地域のボランティアを募集・研修を実施しセミナーやイベント参加を通して「地域」のサポーター育成_x000D_
●若者の引越し、就職支援、心理士による相談業務、法律相談支援、役所病院同行_x000D_
●児童自立生活援助事業の支援計画作成_x000D_
●道内の企業にて職業体験ジョブプラクティスを実施_x000D_
●北広島や旭川、帯広にて若者向け出張セミナーを開催_x000D_
●一時的住まいの提供</t>
  </si>
  <si>
    <t>代表者　杉山　舞</t>
  </si>
  <si>
    <t>札幌市中央区、東区、南区</t>
  </si>
  <si>
    <t>令和04年05月</t>
  </si>
  <si>
    <t>①着物の伝統技術・文化継承。着物をベースとした観光発展。国内外への発信。_x000D_
10～20代の着物が当たり前ではない世代にもファッションとして文化を発信すること。_x000D_
②SDGｓを意識したリメイクにて文化的教育を促すこと。_x000D_
③世代関係のないコミュニティの形成</t>
  </si>
  <si>
    <t>①②の目的に基づいた活動として以下のような活動により、心の健康促進につなげています。_x000D_
●フリーマーケット出店_x000D_
中央区、東区を中心に出店。着物の販売、着付け教室、コーディネートレクチャーをしている。代表者は20代であるが、団体活動者は20～60代が多く幅広い年齢層であり、ボランティアで活動。_x000D_
●コミュニティ形成_x000D_
着物に興味がある人でコミュニティをつくることでファンづくりを行っている。まだ活動途中であるが、徐々に人は増えており、着物を着用したイベントの企画や留学生への日本体験として着付け体験や着物から読み取る歴史を教えるなど文化発信を行っている。</t>
  </si>
  <si>
    <t>2022年5月より活動開始_x000D_
・2022年5月～2023年7月；メンバーアサイン、団体者私有地でのフリーマーケット、着付けレクチャー_x000D_
・2023年8月；留学生着付け体験・着物についての教育_x000D_
・2024年6月～2024年12月現在；着物のリメイク商品開発、フリーマーケット再開</t>
  </si>
  <si>
    <t>代表　笠井　このみ</t>
  </si>
  <si>
    <t>自分の子どもを育てていて、沢山の親子と接してきました。_x000D_
その中に子供に関心がない親がいました、その子供は不登校になり、OD や自傷している姿を SNS でながし死にたい死にたいと投稿していました。小 2 で男親に引き取られ毎日家事をしている女の子もいました。_x000D_
子供だけで行けるどこか専門の場所へと必死で探しましたが札幌にはどこにもありませんでした。_x000D_
「うちにおいでよ」と言える場所を作りたいと思い、当団体を設立しました。</t>
  </si>
  <si>
    <t>・居場所支援コッコロパーク_x000D_
毎週月曜日、引きこもりや不登校の子供たちの居場所として開所している。_x000D_
心理カウンセリングを取り入れ子供の心の問題を根本的に解決している。_x000D_
_x000D_
・こども食堂コッコロの台所（毎月第3木曜日西野地区センター）_x000D_
地域の親子・孤食の子供・母子家庭に手作りのご飯と学習支援を提供する。_x000D_
_x000D_
・食支援コッコロパントリー_x000D_
生活保護を貰っていない母子家庭・物価高で生活が苦しい親子に企業様からのロスなどの支援物資を必要に応じて無償提供する食支援事業</t>
  </si>
  <si>
    <t>・居場所支援コッコロパーク_x000D_
2023年開所。10-15歳の引きこもり不登校の子供が利用している。（年間80名利用）_x000D_
心理セラピーの実施_x000D_
・食支援コッコロパントリー_x000D_
個人や企業様からの支援物資を引き取りお渡ししている。（年間120名利用）_x000D_
・こども食堂コッコロの台所_x000D_
地域の親子・母子家庭に手作りのご飯と学習支援を提供する。（年間840名利用）_x000D_
テイクアウト20食イートイン50食を作る。_x000D_
子ども食堂開店中フードパントリー実施、母子家庭にお米や調味料、野菜などお渡しする。年に数回社協から緊急に食べ物がない母子家庭の相談があり、直接連絡し寄付金で肉や野菜調味料などを購入し支援する。</t>
  </si>
  <si>
    <t>理事長　本間　利久</t>
  </si>
  <si>
    <t>この法人は、ひろく市民を対象に、これからの都市型農業の提案・発展・普及に関する事業を行い、安全で安心できる農産物の供給並びに豊かな都市生活の実現に寄与することを目的としています。</t>
  </si>
  <si>
    <t>（1）都市部における遊休農地の積極的活用に関する事業_x000D_
（2）安全で安心して食べられる農産物の安定的供給に関する事業　_x000D_
（3）環境を保全し、持続可能な農業の発展に関する事業　_x000D_
（4）市民に対する農業知識・技術の啓発・普及に関する事業　_x000D_
（5）担い手不足農家の支援に関する事業_x000D_
（6）その他上記事業に付随する事業</t>
  </si>
  <si>
    <t>2007年に北ノ沢の農地を賃貸借し、フードリサイクル事業の一環として学校給食の食材（トウモロコシ、かぼちゃ）提供と出前授業を行ってきました。_x000D_
2022年から札幌市円山動物園の象糞堆肥を活用し、円山動物園との共同活動、南区まちづくり活動助成金による「子ども食堂・シルバー食堂を通じた地域の活性化」事業、市立札幌藻岩高校との協働活動、札幌留学生交流センターとの地域農体験活動、札幌市立大学との地元野菜を活かす協働活動を実施しました。_x000D_
2023年に新たな活動として、札幌市立北の沢小学校の食育と環境に関わる農体験活動、南保健センター「ご当地の健康料理」の普及活動、中ノ沢町内会活動の支援も行っています。</t>
  </si>
  <si>
    <t>会長　浅妻　裕</t>
  </si>
  <si>
    <t>平成08年09月</t>
  </si>
  <si>
    <t>札幌の路面電車の存続が論議されていた頃、欧州で復活の兆しが見えていた路面電車の新たなる担い手としてＬＲＴ（Light Rail Transit）に注目し、世界各都市とのＬＲＴの研究・情報交換、並びに札幌でのＬＲＴ普及とまちづくりについて考える会として発足しました。</t>
  </si>
  <si>
    <t>月例会・広報活動・フォーラムの開催・展示活動</t>
  </si>
  <si>
    <t>・札幌都心交通再考フォーラム６月・９月・１１月・３月　於　北海学園大学_x000D_
・「みんなの乗り物」中央区緑丘児童館（１月）_x000D_
・大学生の調査研究に対する研究支援　２件_x000D_
・市民への展示会（２月）マリヤ手芸店</t>
  </si>
  <si>
    <t>札幌LRTの会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</si>
</sst>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
  </numFmts>
  <fonts count="12">
    <font>
      <sz val="11"/>
      <color theme="1"/>
      <name val="ＭＳ Ｐゴシック"/>
      <family val="3"/>
      <charset val="128"/>
      <scheme val="minor"/>
    </font>
    <font>
      <sz val="6"/>
      <name val="ＭＳ Ｐゴシック"/>
      <family val="3"/>
      <charset val="128"/>
    </font>
    <font>
      <sz val="10"/>
      <name val="mspgothic"/>
      <family val="3"/>
      <charset val="128"/>
    </font>
    <font>
      <u/>
      <sz val="11"/>
      <color indexed="12"/>
      <name val="ＭＳ Ｐゴシック"/>
      <family val="3"/>
      <charset val="128"/>
    </font>
    <font>
      <u/>
      <sz val="10"/>
      <color indexed="12"/>
      <name val="mspgothic"/>
      <family val="3"/>
      <charset val="128"/>
    </font>
    <font>
      <sz val="20"/>
      <name val="mspgothic"/>
      <family val="3"/>
      <charset val="128"/>
    </font>
    <font>
      <sz val="11"/>
      <color theme="1"/>
      <name val="ＭＳ Ｐゴシック"/>
      <family val="3"/>
      <charset val="128"/>
      <scheme val="minor"/>
    </font>
    <font>
      <u/>
      <sz val="11"/>
      <color theme="10"/>
      <name val="ＭＳ Ｐゴシック"/>
      <family val="3"/>
      <charset val="128"/>
      <scheme val="minor"/>
    </font>
    <font>
      <u/>
      <sz val="11"/>
      <color theme="10"/>
      <name val="ＭＳ Ｐゴシック"/>
      <family val="3"/>
      <charset val="128"/>
    </font>
    <font>
      <sz val="2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xf numFmtId="0" fontId="6" fillId="0" borderId="0">
      <alignment vertical="center"/>
    </xf>
    <xf numFmtId="0" fontId="2" fillId="0" borderId="0"/>
  </cellStyleXfs>
  <cellXfs count="50">
    <xf numFmtId="0" fontId="0" fillId="0" borderId="0" xfId="0"/>
    <xf numFmtId="0" fontId="0" fillId="0" borderId="0" xfId="0" applyBorder="1" applyAlignment="1">
      <alignment horizontal="center" vertical="center" wrapText="1"/>
    </xf>
    <xf numFmtId="0" fontId="0" fillId="0" borderId="0" xfId="0" applyBorder="1" applyAlignment="1">
      <alignment horizontal="left" vertical="center" wrapText="1"/>
    </xf>
    <xf numFmtId="0" fontId="7" fillId="0" borderId="0" xfId="2" applyBorder="1" applyAlignment="1">
      <alignment horizontal="left" vertical="center" wrapText="1"/>
    </xf>
    <xf numFmtId="0" fontId="0" fillId="0" borderId="0" xfId="0" applyBorder="1" applyAlignment="1">
      <alignment vertical="center" wrapText="1"/>
    </xf>
    <xf numFmtId="0" fontId="9" fillId="0" borderId="0" xfId="0" applyFont="1" applyBorder="1" applyAlignment="1">
      <alignment horizontal="center" vertical="center" wrapText="1"/>
    </xf>
    <xf numFmtId="0" fontId="7" fillId="0" borderId="0" xfId="1" applyBorder="1" applyAlignment="1">
      <alignment vertical="center" wrapText="1"/>
    </xf>
    <xf numFmtId="0" fontId="7" fillId="0" borderId="0" xfId="1" applyBorder="1" applyAlignment="1">
      <alignment horizontal="left" vertical="center" wrapText="1"/>
    </xf>
    <xf numFmtId="0" fontId="7" fillId="0" borderId="0" xfId="2" applyBorder="1" applyAlignment="1">
      <alignment vertical="center"/>
    </xf>
    <xf numFmtId="0" fontId="9"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7" fillId="0" borderId="0" xfId="2"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Border="1" applyAlignment="1">
      <alignment horizontal="left" vertical="center" wrapText="1"/>
    </xf>
    <xf numFmtId="0" fontId="9" fillId="4"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7" fillId="4" borderId="1" xfId="2" applyFill="1" applyBorder="1" applyAlignment="1">
      <alignment horizontal="left" vertical="center" wrapText="1"/>
    </xf>
    <xf numFmtId="0" fontId="9"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6" fillId="3" borderId="5" xfId="6" applyFill="1" applyBorder="1" applyAlignment="1">
      <alignment horizontal="center" vertical="center"/>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176" fontId="0" fillId="4" borderId="1" xfId="0" applyNumberFormat="1" applyFill="1" applyBorder="1" applyAlignment="1">
      <alignment horizontal="center" vertical="center" wrapText="1"/>
    </xf>
    <xf numFmtId="176" fontId="0" fillId="3" borderId="5" xfId="0" applyNumberFormat="1" applyFill="1" applyBorder="1" applyAlignment="1">
      <alignment horizontal="center" vertical="center" wrapText="1"/>
    </xf>
    <xf numFmtId="176" fontId="0" fillId="0" borderId="0" xfId="0" applyNumberFormat="1" applyBorder="1" applyAlignment="1">
      <alignment horizontal="center" vertical="center" wrapText="1"/>
    </xf>
    <xf numFmtId="176" fontId="0" fillId="0" borderId="0"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6" xfId="0" applyFont="1" applyBorder="1" applyAlignment="1">
      <alignment horizontal="center" vertical="center" wrapText="1"/>
    </xf>
    <xf numFmtId="0" fontId="7" fillId="2" borderId="6" xfId="1" applyFill="1" applyBorder="1" applyAlignment="1">
      <alignment vertical="center" wrapText="1"/>
    </xf>
    <xf numFmtId="0" fontId="0" fillId="0" borderId="6" xfId="0" applyBorder="1" applyAlignment="1">
      <alignment horizontal="left" vertical="center" wrapText="1"/>
    </xf>
    <xf numFmtId="0" fontId="7" fillId="0" borderId="6" xfId="1" applyBorder="1" applyAlignment="1">
      <alignment horizontal="left" vertical="center" wrapText="1"/>
    </xf>
    <xf numFmtId="176"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9" fillId="0" borderId="6" xfId="0" applyFont="1" applyBorder="1" applyAlignment="1">
      <alignment horizontal="center" vertical="center" wrapText="1"/>
    </xf>
    <xf numFmtId="0" fontId="7" fillId="0" borderId="6" xfId="1" applyBorder="1" applyAlignment="1">
      <alignment vertical="center" wrapText="1"/>
    </xf>
    <xf numFmtId="0" fontId="7" fillId="0" borderId="6" xfId="1" applyFill="1" applyBorder="1" applyAlignment="1">
      <alignment horizontal="left" vertical="center" wrapText="1"/>
    </xf>
    <xf numFmtId="176" fontId="0" fillId="0" borderId="6" xfId="0" applyNumberFormat="1" applyFont="1" applyBorder="1" applyAlignment="1">
      <alignment horizontal="center" vertical="center" wrapText="1"/>
    </xf>
    <xf numFmtId="0" fontId="7" fillId="0" borderId="6" xfId="1" applyBorder="1" applyAlignment="1">
      <alignment vertical="center"/>
    </xf>
    <xf numFmtId="0" fontId="7" fillId="0" borderId="6" xfId="2" applyBorder="1" applyAlignment="1">
      <alignment horizontal="left" vertical="center" wrapText="1"/>
    </xf>
    <xf numFmtId="0" fontId="9" fillId="0" borderId="6" xfId="0" applyFont="1" applyFill="1" applyBorder="1" applyAlignment="1">
      <alignment horizontal="center" vertical="center" wrapText="1"/>
    </xf>
    <xf numFmtId="0" fontId="7" fillId="0" borderId="6" xfId="1" applyFill="1" applyBorder="1" applyAlignment="1">
      <alignment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7" fillId="0" borderId="6" xfId="1" applyBorder="1" applyAlignment="1">
      <alignment horizontal="left" vertical="center"/>
    </xf>
    <xf numFmtId="0" fontId="7" fillId="0" borderId="6" xfId="2" applyFill="1" applyBorder="1" applyAlignment="1">
      <alignment horizontal="left" vertical="center" wrapText="1"/>
    </xf>
    <xf numFmtId="0" fontId="7" fillId="0" borderId="6" xfId="2" applyBorder="1" applyAlignment="1">
      <alignment vertical="center"/>
    </xf>
  </cellXfs>
  <cellStyles count="9">
    <cellStyle name="ハイパーリンク" xfId="1" builtinId="8"/>
    <cellStyle name="ハイパーリンク 2" xfId="2" xr:uid="{00000000-0005-0000-0000-000001000000}"/>
    <cellStyle name="ハイパーリンク 3" xfId="3" xr:uid="{00000000-0005-0000-0000-000002000000}"/>
    <cellStyle name="ハイパーリンク 4" xfId="4" xr:uid="{00000000-0005-0000-0000-000003000000}"/>
    <cellStyle name="ハイパーリンク 5"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24"/>
  <sheetViews>
    <sheetView tabSelected="1" zoomScale="70" zoomScaleNormal="70" workbookViewId="0">
      <pane ySplit="2" topLeftCell="A3" activePane="bottomLeft" state="frozen"/>
      <selection pane="bottomLeft" activeCell="E311" sqref="E311"/>
    </sheetView>
  </sheetViews>
  <sheetFormatPr defaultRowHeight="24"/>
  <cols>
    <col min="1" max="1" width="10.625" style="5" customWidth="1"/>
    <col min="2" max="2" width="20.625" style="2" customWidth="1"/>
    <col min="3" max="3" width="18.5" style="2" customWidth="1"/>
    <col min="4" max="4" width="16.375" style="2" customWidth="1"/>
    <col min="5" max="5" width="91.25" style="3" customWidth="1"/>
    <col min="6" max="6" width="16.75" style="25" customWidth="1"/>
    <col min="7" max="7" width="16.25" style="25" customWidth="1"/>
    <col min="8" max="8" width="49.625" style="2" customWidth="1"/>
    <col min="9" max="9" width="44.375" style="2" customWidth="1"/>
    <col min="10" max="10" width="62.5" style="2" customWidth="1"/>
    <col min="11" max="29" width="8.625" style="1" customWidth="1"/>
    <col min="30" max="16384" width="9" style="4"/>
  </cols>
  <sheetData>
    <row r="1" spans="1:29" ht="16.5" customHeight="1">
      <c r="A1" s="15"/>
      <c r="B1" s="16"/>
      <c r="C1" s="16"/>
      <c r="D1" s="16"/>
      <c r="E1" s="17"/>
      <c r="F1" s="23"/>
      <c r="G1" s="23"/>
      <c r="H1" s="16"/>
      <c r="I1" s="16"/>
      <c r="J1" s="16"/>
      <c r="K1" s="27" t="s">
        <v>29</v>
      </c>
      <c r="L1" s="28"/>
      <c r="M1" s="28"/>
      <c r="N1" s="28"/>
      <c r="O1" s="28"/>
      <c r="P1" s="28"/>
      <c r="Q1" s="28"/>
      <c r="R1" s="28"/>
      <c r="S1" s="28"/>
      <c r="T1" s="28"/>
      <c r="U1" s="28"/>
      <c r="V1" s="28"/>
      <c r="W1" s="28"/>
      <c r="X1" s="28"/>
      <c r="Y1" s="28"/>
      <c r="Z1" s="28"/>
      <c r="AA1" s="28"/>
      <c r="AB1" s="28"/>
      <c r="AC1" s="29"/>
    </row>
    <row r="2" spans="1:29" s="1" customFormat="1" ht="48">
      <c r="A2" s="18" t="s">
        <v>0</v>
      </c>
      <c r="B2" s="19" t="s">
        <v>1</v>
      </c>
      <c r="C2" s="19" t="s">
        <v>28</v>
      </c>
      <c r="D2" s="19" t="s">
        <v>2</v>
      </c>
      <c r="E2" s="20" t="s">
        <v>3</v>
      </c>
      <c r="F2" s="24" t="s">
        <v>4</v>
      </c>
      <c r="G2" s="24" t="s">
        <v>5</v>
      </c>
      <c r="H2" s="19" t="s">
        <v>6</v>
      </c>
      <c r="I2" s="19" t="s">
        <v>7</v>
      </c>
      <c r="J2" s="19" t="s">
        <v>8</v>
      </c>
      <c r="K2" s="21" t="s">
        <v>10</v>
      </c>
      <c r="L2" s="21" t="s">
        <v>11</v>
      </c>
      <c r="M2" s="21" t="s">
        <v>12</v>
      </c>
      <c r="N2" s="21" t="s">
        <v>13</v>
      </c>
      <c r="O2" s="21" t="s">
        <v>14</v>
      </c>
      <c r="P2" s="21" t="s">
        <v>15</v>
      </c>
      <c r="Q2" s="21" t="s">
        <v>16</v>
      </c>
      <c r="R2" s="21" t="s">
        <v>17</v>
      </c>
      <c r="S2" s="21" t="s">
        <v>18</v>
      </c>
      <c r="T2" s="21" t="s">
        <v>19</v>
      </c>
      <c r="U2" s="21" t="s">
        <v>20</v>
      </c>
      <c r="V2" s="21" t="s">
        <v>21</v>
      </c>
      <c r="W2" s="21" t="s">
        <v>22</v>
      </c>
      <c r="X2" s="21" t="s">
        <v>23</v>
      </c>
      <c r="Y2" s="21" t="s">
        <v>24</v>
      </c>
      <c r="Z2" s="21" t="s">
        <v>25</v>
      </c>
      <c r="AA2" s="21" t="s">
        <v>26</v>
      </c>
      <c r="AB2" s="21" t="s">
        <v>27</v>
      </c>
      <c r="AC2" s="22" t="s">
        <v>9</v>
      </c>
    </row>
    <row r="3" spans="1:29" ht="243">
      <c r="A3" s="30">
        <v>17</v>
      </c>
      <c r="B3" s="31" t="str">
        <f>HYPERLINK("\\intranet-fs4\市）地域振興部\14市民自治推進室\06  市民活動\◎助成・積立・取崩（基金）\00：起案：団体登録\団体情報一覧\団体概要書（更新ごと最新に）pdf\017_prof.pdf","特定非営利活動法人 コンカリーニョ ")</f>
        <v xml:space="preserve">特定非営利活動法人 コンカリーニョ </v>
      </c>
      <c r="C3" s="32" t="s">
        <v>30</v>
      </c>
      <c r="D3" s="32" t="s">
        <v>31</v>
      </c>
      <c r="E3" s="33" t="str">
        <f>HYPERLINK("http://www.concarino.or.jp/","http://www.concarino.or.jp/")</f>
        <v>http://www.concarino.or.jp/</v>
      </c>
      <c r="F3" s="34" t="s">
        <v>32</v>
      </c>
      <c r="G3" s="34" t="s">
        <v>33</v>
      </c>
      <c r="H3" s="32" t="s">
        <v>34</v>
      </c>
      <c r="I3" s="32" t="s">
        <v>35</v>
      </c>
      <c r="J3" s="32" t="s">
        <v>36</v>
      </c>
      <c r="K3" s="35"/>
      <c r="L3" s="35" t="s">
        <v>37</v>
      </c>
      <c r="M3" s="35" t="s">
        <v>37</v>
      </c>
      <c r="N3" s="35"/>
      <c r="O3" s="35"/>
      <c r="P3" s="35" t="s">
        <v>37</v>
      </c>
      <c r="Q3" s="35"/>
      <c r="R3" s="35"/>
      <c r="S3" s="35"/>
      <c r="T3" s="35"/>
      <c r="U3" s="35"/>
      <c r="V3" s="35"/>
      <c r="W3" s="35" t="s">
        <v>37</v>
      </c>
      <c r="X3" s="35"/>
      <c r="Y3" s="35"/>
      <c r="Z3" s="35"/>
      <c r="AA3" s="35"/>
      <c r="AB3" s="35"/>
      <c r="AC3" s="35"/>
    </row>
    <row r="4" spans="1:29" ht="175.5">
      <c r="A4" s="36">
        <v>33</v>
      </c>
      <c r="B4" s="37" t="str">
        <f>HYPERLINK("\\intranet-fs4\市）地域振興部\14市民自治推進室\06  市民活動\◎助成・積立・取崩（基金）\00：起案：団体登録\団体情報一覧\団体概要書（更新ごと最新に）pdf\033_prof.pdf","特定非営利活動法人 ボラナビ")</f>
        <v>特定非営利活動法人 ボラナビ</v>
      </c>
      <c r="C4" s="32" t="s">
        <v>38</v>
      </c>
      <c r="D4" s="32" t="s">
        <v>39</v>
      </c>
      <c r="E4" s="38" t="str">
        <f>HYPERLINK("http://www.npohokkaido.jp/volunavi/","http://www.npohokkaido.jp/volunavi/")</f>
        <v>http://www.npohokkaido.jp/volunavi/</v>
      </c>
      <c r="F4" s="34" t="s">
        <v>40</v>
      </c>
      <c r="G4" s="34" t="s">
        <v>41</v>
      </c>
      <c r="H4" s="32" t="s">
        <v>42</v>
      </c>
      <c r="I4" s="32" t="s">
        <v>43</v>
      </c>
      <c r="J4" s="32" t="s">
        <v>44</v>
      </c>
      <c r="K4" s="35"/>
      <c r="L4" s="35"/>
      <c r="M4" s="35" t="s">
        <v>37</v>
      </c>
      <c r="N4" s="35"/>
      <c r="O4" s="35"/>
      <c r="P4" s="35"/>
      <c r="Q4" s="35"/>
      <c r="R4" s="35"/>
      <c r="S4" s="35"/>
      <c r="T4" s="35"/>
      <c r="U4" s="35"/>
      <c r="V4" s="35"/>
      <c r="W4" s="35" t="s">
        <v>37</v>
      </c>
      <c r="X4" s="35" t="s">
        <v>37</v>
      </c>
      <c r="Y4" s="35"/>
      <c r="Z4" s="35" t="s">
        <v>37</v>
      </c>
      <c r="AA4" s="35" t="s">
        <v>37</v>
      </c>
      <c r="AB4" s="35"/>
      <c r="AC4" s="35" t="s">
        <v>37</v>
      </c>
    </row>
    <row r="5" spans="1:29" ht="162">
      <c r="A5" s="36">
        <v>37</v>
      </c>
      <c r="B5" s="37" t="str">
        <f>HYPERLINK("\\intranet-fs4\市）地域振興部\14市民自治推進室\06  市民活動\◎助成・積立・取崩（基金）\00：起案：団体登録\団体情報一覧\団体概要書（更新ごと最新に）pdf\037_prof.pdf","特定非営利活動法人　レッドリボンさっぽろ")</f>
        <v>特定非営利活動法人　レッドリボンさっぽろ</v>
      </c>
      <c r="C5" s="32" t="s">
        <v>45</v>
      </c>
      <c r="D5" s="32" t="s">
        <v>46</v>
      </c>
      <c r="E5" s="33" t="str">
        <f>HYPERLINK("http://redribbon.or.jp/","http://redribbon.or.jp/")</f>
        <v>http://redribbon.or.jp/</v>
      </c>
      <c r="F5" s="34" t="s">
        <v>47</v>
      </c>
      <c r="G5" s="34" t="s">
        <v>48</v>
      </c>
      <c r="H5" s="32" t="s">
        <v>49</v>
      </c>
      <c r="I5" s="32" t="s">
        <v>50</v>
      </c>
      <c r="J5" s="32" t="s">
        <v>51</v>
      </c>
      <c r="K5" s="35" t="s">
        <v>37</v>
      </c>
      <c r="L5" s="35" t="s">
        <v>37</v>
      </c>
      <c r="M5" s="35"/>
      <c r="N5" s="35"/>
      <c r="O5" s="35"/>
      <c r="P5" s="35"/>
      <c r="Q5" s="35"/>
      <c r="R5" s="35"/>
      <c r="S5" s="35"/>
      <c r="T5" s="35" t="s">
        <v>37</v>
      </c>
      <c r="U5" s="35"/>
      <c r="V5" s="35"/>
      <c r="W5" s="35"/>
      <c r="X5" s="35"/>
      <c r="Y5" s="35"/>
      <c r="Z5" s="35"/>
      <c r="AA5" s="35"/>
      <c r="AB5" s="35"/>
      <c r="AC5" s="35"/>
    </row>
    <row r="6" spans="1:29" ht="121.5">
      <c r="A6" s="36">
        <v>42</v>
      </c>
      <c r="B6" s="37" t="str">
        <f>HYPERLINK("\\intranet-fs4\市）地域振興部\14市民自治推進室\06  市民活動\◎助成・積立・取崩（基金）\00：起案：団体登録\団体情報一覧\団体概要書（更新ごと最新に）pdf\042_prof.pdf","特定非営利活動法人 リカバリー ")</f>
        <v xml:space="preserve">特定非営利活動法人 リカバリー </v>
      </c>
      <c r="C6" s="32" t="s">
        <v>52</v>
      </c>
      <c r="D6" s="32" t="s">
        <v>53</v>
      </c>
      <c r="E6" s="33" t="str">
        <f>HYPERLINK("http://www.phoenix-c.or.jp/~recovery/index.html","http://www.phoenix-c.or.jp/~recovery/index.html")</f>
        <v>http://www.phoenix-c.or.jp/~recovery/index.html</v>
      </c>
      <c r="F6" s="34" t="s">
        <v>54</v>
      </c>
      <c r="G6" s="39" t="s">
        <v>55</v>
      </c>
      <c r="H6" s="32" t="s">
        <v>56</v>
      </c>
      <c r="I6" s="32" t="s">
        <v>57</v>
      </c>
      <c r="J6" s="32" t="s">
        <v>58</v>
      </c>
      <c r="K6" s="35" t="s">
        <v>37</v>
      </c>
      <c r="L6" s="35" t="s">
        <v>37</v>
      </c>
      <c r="M6" s="35"/>
      <c r="N6" s="35"/>
      <c r="O6" s="35"/>
      <c r="P6" s="35"/>
      <c r="Q6" s="35"/>
      <c r="R6" s="35"/>
      <c r="S6" s="35"/>
      <c r="T6" s="35" t="s">
        <v>37</v>
      </c>
      <c r="U6" s="35"/>
      <c r="V6" s="35" t="s">
        <v>37</v>
      </c>
      <c r="W6" s="35"/>
      <c r="X6" s="35"/>
      <c r="Y6" s="35"/>
      <c r="Z6" s="35"/>
      <c r="AA6" s="35" t="s">
        <v>37</v>
      </c>
      <c r="AB6" s="35"/>
      <c r="AC6" s="35" t="s">
        <v>37</v>
      </c>
    </row>
    <row r="7" spans="1:29" ht="148.5">
      <c r="A7" s="36">
        <v>81</v>
      </c>
      <c r="B7" s="37" t="str">
        <f>HYPERLINK("\\intranet-fs4\市）地域振興部\14市民自治推進室\06  市民活動\◎助成・積立・取崩（基金）\00：起案：団体登録\団体情報一覧\団体概要書（更新ごと最新に）pdf\081_prof.pdf","子育て支援ワーカーズ ぐるんぱ ")</f>
        <v xml:space="preserve">子育て支援ワーカーズ ぐるんぱ </v>
      </c>
      <c r="C7" s="32" t="s">
        <v>59</v>
      </c>
      <c r="D7" s="32" t="s">
        <v>60</v>
      </c>
      <c r="E7" s="33" t="str">
        <f>HYPERLINK("http://gurunpa.i-cis.com/","http://gurunpa.i-cis.com/")</f>
        <v>http://gurunpa.i-cis.com/</v>
      </c>
      <c r="F7" s="34" t="s">
        <v>61</v>
      </c>
      <c r="G7" s="34" t="s">
        <v>61</v>
      </c>
      <c r="H7" s="32" t="s">
        <v>62</v>
      </c>
      <c r="I7" s="32" t="s">
        <v>63</v>
      </c>
      <c r="J7" s="32" t="s">
        <v>64</v>
      </c>
      <c r="K7" s="35"/>
      <c r="L7" s="35"/>
      <c r="M7" s="35" t="s">
        <v>37</v>
      </c>
      <c r="N7" s="35"/>
      <c r="O7" s="35"/>
      <c r="P7" s="35"/>
      <c r="Q7" s="35"/>
      <c r="R7" s="35"/>
      <c r="S7" s="35" t="s">
        <v>37</v>
      </c>
      <c r="T7" s="35"/>
      <c r="U7" s="35"/>
      <c r="V7" s="35"/>
      <c r="W7" s="35" t="s">
        <v>37</v>
      </c>
      <c r="X7" s="35"/>
      <c r="Y7" s="35"/>
      <c r="Z7" s="35"/>
      <c r="AA7" s="35"/>
      <c r="AB7" s="35"/>
      <c r="AC7" s="35"/>
    </row>
    <row r="8" spans="1:29" ht="216">
      <c r="A8" s="36">
        <v>85</v>
      </c>
      <c r="B8" s="37" t="str">
        <f>HYPERLINK("\\intranet-fs4\市）地域振興部\14市民自治推進室\06  市民活動\◎助成・積立・取崩（基金）\00：起案：団体登録\団体情報一覧\団体概要書（更新ごと最新に）pdf\085_prof.pdf","特定非営利活動法人　北海道障がい者乗馬センター")</f>
        <v>特定非営利活動法人　北海道障がい者乗馬センター</v>
      </c>
      <c r="C8" s="32" t="s">
        <v>65</v>
      </c>
      <c r="D8" s="32" t="s">
        <v>66</v>
      </c>
      <c r="E8" s="33" t="str">
        <f>HYPERLINK("http://www.horse-therapy.net","http://www.horse-therapy.net")</f>
        <v>http://www.horse-therapy.net</v>
      </c>
      <c r="F8" s="34" t="s">
        <v>67</v>
      </c>
      <c r="G8" s="34" t="s">
        <v>68</v>
      </c>
      <c r="H8" s="32" t="s">
        <v>69</v>
      </c>
      <c r="I8" s="32" t="s">
        <v>70</v>
      </c>
      <c r="J8" s="32" t="s">
        <v>71</v>
      </c>
      <c r="K8" s="35" t="s">
        <v>37</v>
      </c>
      <c r="L8" s="35"/>
      <c r="M8" s="35"/>
      <c r="N8" s="35"/>
      <c r="O8" s="35"/>
      <c r="P8" s="35" t="s">
        <v>37</v>
      </c>
      <c r="Q8" s="35"/>
      <c r="R8" s="35"/>
      <c r="S8" s="35"/>
      <c r="T8" s="35"/>
      <c r="U8" s="35"/>
      <c r="V8" s="35"/>
      <c r="W8" s="35"/>
      <c r="X8" s="35"/>
      <c r="Y8" s="35"/>
      <c r="Z8" s="35"/>
      <c r="AA8" s="35"/>
      <c r="AB8" s="35"/>
      <c r="AC8" s="35"/>
    </row>
    <row r="9" spans="1:29" ht="67.5">
      <c r="A9" s="36">
        <v>101</v>
      </c>
      <c r="B9" s="37" t="str">
        <f>HYPERLINK("\\intranet-fs4\市）地域振興部\14市民自治推進室\06  市民活動\◎助成・積立・取崩（基金）\00：起案：団体登録\団体情報一覧\団体概要書（更新ごと最新に）pdf\101_prof.pdf","札幌厚別子ども劇場 ")</f>
        <v xml:space="preserve">札幌厚別子ども劇場 </v>
      </c>
      <c r="C9" s="32" t="s">
        <v>72</v>
      </c>
      <c r="D9" s="32" t="s">
        <v>73</v>
      </c>
      <c r="E9" s="33" t="str">
        <f>HYPERLINK("","")</f>
        <v/>
      </c>
      <c r="F9" s="34" t="s">
        <v>74</v>
      </c>
      <c r="G9" s="34" t="s">
        <v>74</v>
      </c>
      <c r="H9" s="32" t="s">
        <v>75</v>
      </c>
      <c r="I9" s="32" t="s">
        <v>76</v>
      </c>
      <c r="J9" s="32" t="s">
        <v>77</v>
      </c>
      <c r="K9" s="35" t="s">
        <v>37</v>
      </c>
      <c r="L9" s="35" t="s">
        <v>37</v>
      </c>
      <c r="M9" s="35" t="s">
        <v>37</v>
      </c>
      <c r="N9" s="35"/>
      <c r="O9" s="35"/>
      <c r="P9" s="35" t="s">
        <v>37</v>
      </c>
      <c r="Q9" s="35"/>
      <c r="R9" s="35"/>
      <c r="S9" s="35"/>
      <c r="T9" s="35"/>
      <c r="U9" s="35"/>
      <c r="V9" s="35"/>
      <c r="W9" s="35" t="s">
        <v>37</v>
      </c>
      <c r="X9" s="35"/>
      <c r="Y9" s="35"/>
      <c r="Z9" s="35"/>
      <c r="AA9" s="35"/>
      <c r="AB9" s="35"/>
      <c r="AC9" s="35"/>
    </row>
    <row r="10" spans="1:29" ht="94.5">
      <c r="A10" s="36">
        <v>104</v>
      </c>
      <c r="B10" s="37" t="str">
        <f>HYPERLINK("\\intranet-fs4\市）地域振興部\14市民自治推進室\06  市民活動\◎助成・積立・取崩（基金）\00：起案：団体登録\団体情報一覧\団体概要書（更新ごと最新に）pdf\104_prof.pdf","札幌子ども劇場協議会")</f>
        <v>札幌子ども劇場協議会</v>
      </c>
      <c r="C10" s="32" t="s">
        <v>78</v>
      </c>
      <c r="D10" s="32" t="s">
        <v>79</v>
      </c>
      <c r="E10" s="33" t="str">
        <f>HYPERLINK("","")</f>
        <v/>
      </c>
      <c r="F10" s="34" t="s">
        <v>80</v>
      </c>
      <c r="G10" s="34" t="s">
        <v>80</v>
      </c>
      <c r="H10" s="32" t="s">
        <v>81</v>
      </c>
      <c r="I10" s="32" t="s">
        <v>82</v>
      </c>
      <c r="J10" s="32" t="s">
        <v>83</v>
      </c>
      <c r="K10" s="35"/>
      <c r="L10" s="35"/>
      <c r="M10" s="35"/>
      <c r="N10" s="35"/>
      <c r="O10" s="35"/>
      <c r="P10" s="35" t="s">
        <v>37</v>
      </c>
      <c r="Q10" s="35"/>
      <c r="R10" s="35"/>
      <c r="S10" s="35"/>
      <c r="T10" s="35"/>
      <c r="U10" s="35"/>
      <c r="V10" s="35"/>
      <c r="W10" s="35" t="s">
        <v>37</v>
      </c>
      <c r="X10" s="35"/>
      <c r="Y10" s="35"/>
      <c r="Z10" s="35"/>
      <c r="AA10" s="35"/>
      <c r="AB10" s="35"/>
      <c r="AC10" s="35"/>
    </row>
    <row r="11" spans="1:29" ht="81">
      <c r="A11" s="36">
        <v>108</v>
      </c>
      <c r="B11" s="37" t="str">
        <f>HYPERLINK("\\intranet-fs4\市）地域振興部\14市民自治推進室\06  市民活動\◎助成・積立・取崩（基金）\00：起案：団体登録\団体情報一覧\団体概要書（更新ごと最新に）pdf\108_prof.pdf","特定非営利活動法人 北海道ダルク ")</f>
        <v xml:space="preserve">特定非営利活動法人 北海道ダルク </v>
      </c>
      <c r="C11" s="32" t="s">
        <v>84</v>
      </c>
      <c r="D11" s="32" t="s">
        <v>85</v>
      </c>
      <c r="E11" s="33" t="str">
        <f>HYPERLINK("http://h-darc.com","http://h-darc.com")</f>
        <v>http://h-darc.com</v>
      </c>
      <c r="F11" s="34" t="s">
        <v>86</v>
      </c>
      <c r="G11" s="34" t="s">
        <v>87</v>
      </c>
      <c r="H11" s="32" t="s">
        <v>88</v>
      </c>
      <c r="I11" s="32" t="s">
        <v>89</v>
      </c>
      <c r="J11" s="32" t="s">
        <v>90</v>
      </c>
      <c r="K11" s="35" t="s">
        <v>37</v>
      </c>
      <c r="L11" s="35"/>
      <c r="M11" s="35"/>
      <c r="N11" s="35"/>
      <c r="O11" s="35"/>
      <c r="P11" s="35"/>
      <c r="Q11" s="35"/>
      <c r="R11" s="35"/>
      <c r="S11" s="35"/>
      <c r="T11" s="35"/>
      <c r="U11" s="35"/>
      <c r="V11" s="35"/>
      <c r="W11" s="35" t="s">
        <v>37</v>
      </c>
      <c r="X11" s="35"/>
      <c r="Y11" s="35"/>
      <c r="Z11" s="35"/>
      <c r="AA11" s="35"/>
      <c r="AB11" s="35"/>
      <c r="AC11" s="35" t="s">
        <v>37</v>
      </c>
    </row>
    <row r="12" spans="1:29" ht="202.5">
      <c r="A12" s="36">
        <v>111</v>
      </c>
      <c r="B12" s="37" t="str">
        <f>HYPERLINK("\\intranet-fs4\市）地域振興部\14市民自治推進室\06  市民活動\◎助成・積立・取崩（基金）\00：起案：団体登録\団体情報一覧\団体概要書（更新ごと最新に）pdf\111_prof.pdf","認定特定非営利活動法人 北海道バーバリアンズラグビーアンドスポーツクラブ")</f>
        <v>認定特定非営利活動法人 北海道バーバリアンズラグビーアンドスポーツクラブ</v>
      </c>
      <c r="C12" s="32" t="s">
        <v>91</v>
      </c>
      <c r="D12" s="32" t="s">
        <v>92</v>
      </c>
      <c r="E12" s="40" t="str">
        <f>HYPERLINK("http://www.hokkaido-barbarians.com/","http://www.hokkaido-barbarians.com/")</f>
        <v>http://www.hokkaido-barbarians.com/</v>
      </c>
      <c r="F12" s="34" t="s">
        <v>93</v>
      </c>
      <c r="G12" s="34" t="s">
        <v>94</v>
      </c>
      <c r="H12" s="32" t="s">
        <v>95</v>
      </c>
      <c r="I12" s="32" t="s">
        <v>96</v>
      </c>
      <c r="J12" s="32" t="s">
        <v>97</v>
      </c>
      <c r="K12" s="35"/>
      <c r="L12" s="35"/>
      <c r="M12" s="35"/>
      <c r="N12" s="35"/>
      <c r="O12" s="35"/>
      <c r="P12" s="35" t="s">
        <v>37</v>
      </c>
      <c r="Q12" s="35"/>
      <c r="R12" s="35"/>
      <c r="S12" s="35"/>
      <c r="T12" s="35"/>
      <c r="U12" s="35"/>
      <c r="V12" s="35"/>
      <c r="W12" s="35"/>
      <c r="X12" s="35"/>
      <c r="Y12" s="35"/>
      <c r="Z12" s="35"/>
      <c r="AA12" s="35"/>
      <c r="AB12" s="35"/>
      <c r="AC12" s="35" t="s">
        <v>37</v>
      </c>
    </row>
    <row r="13" spans="1:29" ht="202.5">
      <c r="A13" s="36">
        <v>120</v>
      </c>
      <c r="B13" s="37" t="str">
        <f>HYPERLINK("\\intranet-fs4\市）地域振興部\14市民自治推進室\06  市民活動\◎助成・積立・取崩（基金）\00：起案：団体登録\団体情報一覧\団体概要書（更新ごと最新に）pdf\120_prof.pdf","一般社団法人北海道ブックシェアリング")</f>
        <v>一般社団法人北海道ブックシェアリング</v>
      </c>
      <c r="C13" s="32" t="s">
        <v>98</v>
      </c>
      <c r="D13" s="32" t="s">
        <v>99</v>
      </c>
      <c r="E13" s="33" t="str">
        <f>HYPERLINK("http://booksharing.wixsite.com/bookshare","http://booksharing.wixsite.com/bookshare")</f>
        <v>http://booksharing.wixsite.com/bookshare</v>
      </c>
      <c r="F13" s="34" t="s">
        <v>100</v>
      </c>
      <c r="G13" s="34" t="s">
        <v>100</v>
      </c>
      <c r="H13" s="32" t="s">
        <v>101</v>
      </c>
      <c r="I13" s="32" t="s">
        <v>102</v>
      </c>
      <c r="J13" s="32" t="s">
        <v>103</v>
      </c>
      <c r="K13" s="35"/>
      <c r="L13" s="35" t="s">
        <v>37</v>
      </c>
      <c r="M13" s="35"/>
      <c r="N13" s="35"/>
      <c r="O13" s="35"/>
      <c r="P13" s="35" t="s">
        <v>37</v>
      </c>
      <c r="Q13" s="35"/>
      <c r="R13" s="35"/>
      <c r="S13" s="35"/>
      <c r="T13" s="35"/>
      <c r="U13" s="35"/>
      <c r="V13" s="35"/>
      <c r="W13" s="35"/>
      <c r="X13" s="35"/>
      <c r="Y13" s="35"/>
      <c r="Z13" s="35"/>
      <c r="AA13" s="35"/>
      <c r="AB13" s="35"/>
      <c r="AC13" s="35"/>
    </row>
    <row r="14" spans="1:29" ht="256.5">
      <c r="A14" s="36">
        <v>122</v>
      </c>
      <c r="B14" s="37" t="str">
        <f>HYPERLINK("\\intranet-fs4\市）地域振興部\14市民自治推進室\06  市民活動\◎助成・積立・取崩（基金）\00：起案：団体登録\団体情報一覧\団体概要書（更新ごと最新に）pdf\122_prof.pdf","特定非営利活動法人「飛んでけ！車いす」の会")</f>
        <v>特定非営利活動法人「飛んでけ！車いす」の会</v>
      </c>
      <c r="C14" s="32" t="s">
        <v>104</v>
      </c>
      <c r="D14" s="32" t="s">
        <v>66</v>
      </c>
      <c r="E14" s="33" t="str">
        <f>HYPERLINK("http://tondeke.org/","http://tondeke.org/")</f>
        <v>http://tondeke.org/</v>
      </c>
      <c r="F14" s="34" t="s">
        <v>105</v>
      </c>
      <c r="G14" s="34" t="s">
        <v>41</v>
      </c>
      <c r="H14" s="32" t="s">
        <v>106</v>
      </c>
      <c r="I14" s="32" t="s">
        <v>107</v>
      </c>
      <c r="J14" s="32" t="s">
        <v>108</v>
      </c>
      <c r="K14" s="35" t="s">
        <v>37</v>
      </c>
      <c r="L14" s="35"/>
      <c r="M14" s="35" t="s">
        <v>37</v>
      </c>
      <c r="N14" s="35"/>
      <c r="O14" s="35"/>
      <c r="P14" s="35"/>
      <c r="Q14" s="35"/>
      <c r="R14" s="35"/>
      <c r="S14" s="35"/>
      <c r="T14" s="35"/>
      <c r="U14" s="35" t="s">
        <v>37</v>
      </c>
      <c r="V14" s="35"/>
      <c r="W14" s="35"/>
      <c r="X14" s="35"/>
      <c r="Y14" s="35"/>
      <c r="Z14" s="35"/>
      <c r="AA14" s="35"/>
      <c r="AB14" s="35"/>
      <c r="AC14" s="35"/>
    </row>
    <row r="15" spans="1:29" ht="54">
      <c r="A15" s="36">
        <v>134</v>
      </c>
      <c r="B15" s="37" t="str">
        <f>HYPERLINK("\\intranet-fs4\市）地域振興部\14市民自治推進室\06  市民活動\◎助成・積立・取崩（基金）\00：起案：団体登録\団体情報一覧\団体概要書（更新ごと最新に）pdf\134_prof.pdf","夏目のり子エンゼル会")</f>
        <v>夏目のり子エンゼル会</v>
      </c>
      <c r="C15" s="32" t="s">
        <v>109</v>
      </c>
      <c r="D15" s="32" t="s">
        <v>79</v>
      </c>
      <c r="E15" s="33" t="str">
        <f>HYPERLINK("","")</f>
        <v/>
      </c>
      <c r="F15" s="34" t="s">
        <v>87</v>
      </c>
      <c r="G15" s="34" t="s">
        <v>110</v>
      </c>
      <c r="H15" s="32" t="s">
        <v>111</v>
      </c>
      <c r="I15" s="32" t="s">
        <v>112</v>
      </c>
      <c r="J15" s="32" t="s">
        <v>113</v>
      </c>
      <c r="K15" s="35"/>
      <c r="L15" s="35"/>
      <c r="M15" s="35"/>
      <c r="N15" s="35"/>
      <c r="O15" s="35"/>
      <c r="P15" s="35"/>
      <c r="Q15" s="35"/>
      <c r="R15" s="35"/>
      <c r="S15" s="35"/>
      <c r="T15" s="35"/>
      <c r="U15" s="35"/>
      <c r="V15" s="35"/>
      <c r="W15" s="35" t="s">
        <v>37</v>
      </c>
      <c r="X15" s="35"/>
      <c r="Y15" s="35"/>
      <c r="Z15" s="35"/>
      <c r="AA15" s="35"/>
      <c r="AB15" s="35"/>
      <c r="AC15" s="35"/>
    </row>
    <row r="16" spans="1:29" ht="121.5">
      <c r="A16" s="36">
        <v>135</v>
      </c>
      <c r="B16" s="37" t="str">
        <f>HYPERLINK("\\intranet-fs4\市）地域振興部\14市民自治推進室\06  市民活動\◎助成・積立・取崩（基金）\00：起案：団体登録\団体情報一覧\団体概要書（更新ごと最新に）pdf\135_prof.pdf","特定非営利活動法人　消費者支援ネット北海道")</f>
        <v>特定非営利活動法人　消費者支援ネット北海道</v>
      </c>
      <c r="C16" s="32" t="s">
        <v>114</v>
      </c>
      <c r="D16" s="32" t="s">
        <v>115</v>
      </c>
      <c r="E16" s="33" t="str">
        <f>HYPERLINK("http://www.e-hocnet.info/","http://www.e-hocnet.info/")</f>
        <v>http://www.e-hocnet.info/</v>
      </c>
      <c r="F16" s="34" t="s">
        <v>68</v>
      </c>
      <c r="G16" s="34" t="s">
        <v>100</v>
      </c>
      <c r="H16" s="32" t="s">
        <v>116</v>
      </c>
      <c r="I16" s="32" t="s">
        <v>117</v>
      </c>
      <c r="J16" s="32" t="s">
        <v>118</v>
      </c>
      <c r="K16" s="35"/>
      <c r="L16" s="35" t="s">
        <v>37</v>
      </c>
      <c r="M16" s="35" t="s">
        <v>37</v>
      </c>
      <c r="N16" s="35"/>
      <c r="O16" s="35"/>
      <c r="P16" s="35"/>
      <c r="Q16" s="35"/>
      <c r="R16" s="35"/>
      <c r="S16" s="35" t="s">
        <v>37</v>
      </c>
      <c r="T16" s="35"/>
      <c r="U16" s="35"/>
      <c r="V16" s="35"/>
      <c r="W16" s="35"/>
      <c r="X16" s="35"/>
      <c r="Y16" s="35"/>
      <c r="Z16" s="35"/>
      <c r="AA16" s="35"/>
      <c r="AB16" s="35" t="s">
        <v>37</v>
      </c>
      <c r="AC16" s="35"/>
    </row>
    <row r="17" spans="1:29" ht="283.5">
      <c r="A17" s="36">
        <v>137</v>
      </c>
      <c r="B17" s="37" t="str">
        <f>HYPERLINK("\\intranet-fs4\市）地域振興部\14市民自治推進室\06  市民活動\◎助成・積立・取崩（基金）\00：起案：団体登録\団体情報一覧\団体概要書（更新ごと最新に）pdf\137_prof.pdf","特定非営利活動法人　環境り・ふれんず")</f>
        <v>特定非営利活動法人　環境り・ふれんず</v>
      </c>
      <c r="C17" s="32" t="s">
        <v>119</v>
      </c>
      <c r="D17" s="32" t="s">
        <v>120</v>
      </c>
      <c r="E17" s="33" t="str">
        <f>HYPERLINK("http://www.refriends.org/","http://www.refriends.org/")</f>
        <v>http://www.refriends.org/</v>
      </c>
      <c r="F17" s="34" t="s">
        <v>121</v>
      </c>
      <c r="G17" s="34" t="s">
        <v>121</v>
      </c>
      <c r="H17" s="32" t="s">
        <v>122</v>
      </c>
      <c r="I17" s="32" t="s">
        <v>123</v>
      </c>
      <c r="J17" s="32" t="s">
        <v>124</v>
      </c>
      <c r="K17" s="35"/>
      <c r="L17" s="35"/>
      <c r="M17" s="35" t="s">
        <v>37</v>
      </c>
      <c r="N17" s="35"/>
      <c r="O17" s="35"/>
      <c r="P17" s="35"/>
      <c r="Q17" s="35" t="s">
        <v>37</v>
      </c>
      <c r="R17" s="35"/>
      <c r="S17" s="35"/>
      <c r="T17" s="35"/>
      <c r="U17" s="35"/>
      <c r="V17" s="35"/>
      <c r="W17" s="35"/>
      <c r="X17" s="35"/>
      <c r="Y17" s="35"/>
      <c r="Z17" s="35"/>
      <c r="AA17" s="35"/>
      <c r="AB17" s="35"/>
      <c r="AC17" s="35"/>
    </row>
    <row r="18" spans="1:29" ht="67.5">
      <c r="A18" s="36">
        <v>145</v>
      </c>
      <c r="B18" s="37" t="str">
        <f>HYPERLINK("\\intranet-fs4\市）地域振興部\14市民自治推進室\06  市民活動\◎助成・積立・取崩（基金）\00：起案：団体登録\団体情報一覧\団体概要書（更新ごと最新に）pdf\145_prof.pdf","さっぽろ市民ミュージカル実行委員会")</f>
        <v>さっぽろ市民ミュージカル実行委員会</v>
      </c>
      <c r="C18" s="32" t="s">
        <v>125</v>
      </c>
      <c r="D18" s="32" t="s">
        <v>115</v>
      </c>
      <c r="E18" s="33" t="str">
        <f>HYPERLINK("http://www.sapporocitizenmusical.com","http://www.sapporocitizenmusical.com")</f>
        <v>http://www.sapporocitizenmusical.com</v>
      </c>
      <c r="F18" s="34" t="s">
        <v>126</v>
      </c>
      <c r="G18" s="34" t="s">
        <v>126</v>
      </c>
      <c r="H18" s="32" t="s">
        <v>127</v>
      </c>
      <c r="I18" s="32" t="s">
        <v>128</v>
      </c>
      <c r="J18" s="32" t="s">
        <v>129</v>
      </c>
      <c r="K18" s="35"/>
      <c r="L18" s="35" t="s">
        <v>37</v>
      </c>
      <c r="M18" s="35" t="s">
        <v>37</v>
      </c>
      <c r="N18" s="35"/>
      <c r="O18" s="35"/>
      <c r="P18" s="35" t="s">
        <v>37</v>
      </c>
      <c r="Q18" s="35"/>
      <c r="R18" s="35"/>
      <c r="S18" s="35"/>
      <c r="T18" s="35"/>
      <c r="U18" s="35"/>
      <c r="V18" s="35"/>
      <c r="W18" s="35" t="s">
        <v>37</v>
      </c>
      <c r="X18" s="35"/>
      <c r="Y18" s="35"/>
      <c r="Z18" s="35"/>
      <c r="AA18" s="35"/>
      <c r="AB18" s="35"/>
      <c r="AC18" s="35"/>
    </row>
    <row r="19" spans="1:29" ht="81">
      <c r="A19" s="36">
        <v>152</v>
      </c>
      <c r="B19" s="37" t="str">
        <f>HYPERLINK("\\intranet-fs4\市）地域振興部\14市民自治推進室\06  市民活動\◎助成・積立・取崩（基金）\00：起案：団体登録\団体情報一覧\団体概要書（更新ごと最新に）pdf\152_prof.pdf","フェアトレード北海道")</f>
        <v>フェアトレード北海道</v>
      </c>
      <c r="C19" s="32" t="s">
        <v>130</v>
      </c>
      <c r="D19" s="32" t="s">
        <v>131</v>
      </c>
      <c r="E19" s="33" t="str">
        <f>HYPERLINK("https://www.facebook.com/fairfestosapporo/","https://www.facebook.com/fairfestosapporo/")</f>
        <v>https://www.facebook.com/fairfestosapporo/</v>
      </c>
      <c r="F19" s="34" t="s">
        <v>132</v>
      </c>
      <c r="G19" s="34" t="s">
        <v>132</v>
      </c>
      <c r="H19" s="32" t="s">
        <v>133</v>
      </c>
      <c r="I19" s="32" t="s">
        <v>134</v>
      </c>
      <c r="J19" s="32" t="s">
        <v>135</v>
      </c>
      <c r="K19" s="35" t="s">
        <v>37</v>
      </c>
      <c r="L19" s="35" t="s">
        <v>37</v>
      </c>
      <c r="M19" s="35" t="s">
        <v>37</v>
      </c>
      <c r="N19" s="35"/>
      <c r="O19" s="35"/>
      <c r="P19" s="35" t="s">
        <v>37</v>
      </c>
      <c r="Q19" s="35"/>
      <c r="R19" s="35"/>
      <c r="S19" s="35"/>
      <c r="T19" s="35" t="s">
        <v>37</v>
      </c>
      <c r="U19" s="35" t="s">
        <v>37</v>
      </c>
      <c r="V19" s="35"/>
      <c r="W19" s="35" t="s">
        <v>37</v>
      </c>
      <c r="X19" s="35"/>
      <c r="Y19" s="35"/>
      <c r="Z19" s="35" t="s">
        <v>37</v>
      </c>
      <c r="AA19" s="35"/>
      <c r="AB19" s="35"/>
      <c r="AC19" s="35"/>
    </row>
    <row r="20" spans="1:29" ht="270">
      <c r="A20" s="36">
        <v>164</v>
      </c>
      <c r="B20" s="37" t="str">
        <f>HYPERLINK("\\intranet-fs4\市）地域振興部\14市民自治推進室\06  市民活動\◎助成・積立・取崩（基金）\00：起案：団体登録\団体情報一覧\団体概要書（更新ごと最新に）pdf\164_prof.pdf","特定非営利活動法人 モエレ沼公園の活用を考える会")</f>
        <v>特定非営利活動法人 モエレ沼公園の活用を考える会</v>
      </c>
      <c r="C20" s="32" t="s">
        <v>136</v>
      </c>
      <c r="D20" s="32" t="s">
        <v>79</v>
      </c>
      <c r="E20" s="33" t="str">
        <f>HYPERLINK("http://www.moerefan.or.jp/","http://www.moerefan.or.jp/")</f>
        <v>http://www.moerefan.or.jp/</v>
      </c>
      <c r="F20" s="34" t="s">
        <v>137</v>
      </c>
      <c r="G20" s="34" t="s">
        <v>137</v>
      </c>
      <c r="H20" s="32" t="s">
        <v>138</v>
      </c>
      <c r="I20" s="32" t="s">
        <v>139</v>
      </c>
      <c r="J20" s="32" t="s">
        <v>140</v>
      </c>
      <c r="K20" s="35"/>
      <c r="L20" s="35"/>
      <c r="M20" s="35" t="s">
        <v>37</v>
      </c>
      <c r="N20" s="35"/>
      <c r="O20" s="35"/>
      <c r="P20" s="35" t="s">
        <v>37</v>
      </c>
      <c r="Q20" s="35" t="s">
        <v>37</v>
      </c>
      <c r="R20" s="35"/>
      <c r="S20" s="35"/>
      <c r="T20" s="35"/>
      <c r="U20" s="35"/>
      <c r="V20" s="35"/>
      <c r="W20" s="35" t="s">
        <v>37</v>
      </c>
      <c r="X20" s="35"/>
      <c r="Y20" s="35"/>
      <c r="Z20" s="35"/>
      <c r="AA20" s="35"/>
      <c r="AB20" s="35"/>
      <c r="AC20" s="35" t="s">
        <v>37</v>
      </c>
    </row>
    <row r="21" spans="1:29" ht="189">
      <c r="A21" s="36">
        <v>165</v>
      </c>
      <c r="B21" s="37" t="str">
        <f>HYPERLINK("\\intranet-fs4\市）地域振興部\14市民自治推進室\06  市民活動\◎助成・積立・取崩（基金）\00：起案：団体登録\団体情報一覧\団体概要書（更新ごと最新に）pdf\165_prof.pdf","特定非営利活動法人　おやふるはうす")</f>
        <v>特定非営利活動法人　おやふるはうす</v>
      </c>
      <c r="C21" s="32" t="s">
        <v>141</v>
      </c>
      <c r="D21" s="32" t="s">
        <v>142</v>
      </c>
      <c r="E21" s="33" t="str">
        <f>HYPERLINK("http://oyafuruhouse.jp","http://oyafuruhouse.jp")</f>
        <v>http://oyafuruhouse.jp</v>
      </c>
      <c r="F21" s="34" t="s">
        <v>143</v>
      </c>
      <c r="G21" s="34" t="s">
        <v>100</v>
      </c>
      <c r="H21" s="32" t="s">
        <v>144</v>
      </c>
      <c r="I21" s="32" t="s">
        <v>145</v>
      </c>
      <c r="J21" s="32" t="s">
        <v>146</v>
      </c>
      <c r="K21" s="35" t="s">
        <v>37</v>
      </c>
      <c r="L21" s="35"/>
      <c r="M21" s="35" t="s">
        <v>37</v>
      </c>
      <c r="N21" s="35"/>
      <c r="O21" s="35"/>
      <c r="P21" s="35"/>
      <c r="Q21" s="35"/>
      <c r="R21" s="35"/>
      <c r="S21" s="35"/>
      <c r="T21" s="35"/>
      <c r="U21" s="35"/>
      <c r="V21" s="35"/>
      <c r="W21" s="35"/>
      <c r="X21" s="35"/>
      <c r="Y21" s="35"/>
      <c r="Z21" s="35" t="s">
        <v>37</v>
      </c>
      <c r="AA21" s="35"/>
      <c r="AB21" s="35"/>
      <c r="AC21" s="35" t="s">
        <v>37</v>
      </c>
    </row>
    <row r="22" spans="1:29" ht="189">
      <c r="A22" s="36">
        <v>167</v>
      </c>
      <c r="B22" s="37" t="str">
        <f>HYPERLINK("\\intranet-fs4\市）地域振興部\14市民自治推進室\06  市民活動\◎助成・積立・取崩（基金）\00：起案：団体登録\団体情報一覧\団体概要書（更新ごと最新に）pdf\167_prof.pdf","特定非営利活動法人　北海道歩くスキー協会")</f>
        <v>特定非営利活動法人　北海道歩くスキー協会</v>
      </c>
      <c r="C22" s="32" t="s">
        <v>147</v>
      </c>
      <c r="D22" s="32" t="s">
        <v>79</v>
      </c>
      <c r="E22" s="33" t="str">
        <f>HYPERLINK("http://h-arukuski.sakura.ne.jp/","http://h-arukuski.sakura.ne.jp/")</f>
        <v>http://h-arukuski.sakura.ne.jp/</v>
      </c>
      <c r="F22" s="34" t="s">
        <v>148</v>
      </c>
      <c r="G22" s="34" t="s">
        <v>149</v>
      </c>
      <c r="H22" s="32" t="s">
        <v>150</v>
      </c>
      <c r="I22" s="32" t="s">
        <v>151</v>
      </c>
      <c r="J22" s="32" t="s">
        <v>152</v>
      </c>
      <c r="K22" s="35" t="s">
        <v>37</v>
      </c>
      <c r="L22" s="35"/>
      <c r="M22" s="35"/>
      <c r="N22" s="35"/>
      <c r="O22" s="35"/>
      <c r="P22" s="35" t="s">
        <v>37</v>
      </c>
      <c r="Q22" s="35" t="s">
        <v>37</v>
      </c>
      <c r="R22" s="35"/>
      <c r="S22" s="35"/>
      <c r="T22" s="35"/>
      <c r="U22" s="35"/>
      <c r="V22" s="35"/>
      <c r="W22" s="35"/>
      <c r="X22" s="35"/>
      <c r="Y22" s="35"/>
      <c r="Z22" s="35"/>
      <c r="AA22" s="35"/>
      <c r="AB22" s="35"/>
      <c r="AC22" s="35"/>
    </row>
    <row r="23" spans="1:29" ht="121.5">
      <c r="A23" s="36">
        <v>169</v>
      </c>
      <c r="B23" s="37" t="str">
        <f>HYPERLINK("\\intranet-fs4\市）地域振興部\14市民自治推進室\06  市民活動\◎助成・積立・取崩（基金）\00：起案：団体登録\団体情報一覧\団体概要書（更新ごと最新に）pdf\169_prof.pdf","札幌人形劇協議会")</f>
        <v>札幌人形劇協議会</v>
      </c>
      <c r="C23" s="32" t="s">
        <v>153</v>
      </c>
      <c r="D23" s="32" t="s">
        <v>154</v>
      </c>
      <c r="E23" s="41"/>
      <c r="F23" s="34" t="s">
        <v>155</v>
      </c>
      <c r="G23" s="34"/>
      <c r="H23" s="32" t="s">
        <v>156</v>
      </c>
      <c r="I23" s="32" t="s">
        <v>157</v>
      </c>
      <c r="J23" s="32" t="s">
        <v>158</v>
      </c>
      <c r="K23" s="35"/>
      <c r="L23" s="35" t="s">
        <v>37</v>
      </c>
      <c r="M23" s="35" t="s">
        <v>37</v>
      </c>
      <c r="N23" s="35"/>
      <c r="O23" s="35"/>
      <c r="P23" s="35" t="s">
        <v>37</v>
      </c>
      <c r="Q23" s="35"/>
      <c r="R23" s="35"/>
      <c r="S23" s="35"/>
      <c r="T23" s="35"/>
      <c r="U23" s="35" t="s">
        <v>37</v>
      </c>
      <c r="V23" s="35" t="s">
        <v>37</v>
      </c>
      <c r="W23" s="35" t="s">
        <v>37</v>
      </c>
      <c r="X23" s="35"/>
      <c r="Y23" s="35"/>
      <c r="Z23" s="35"/>
      <c r="AA23" s="35"/>
      <c r="AB23" s="35"/>
      <c r="AC23" s="35" t="s">
        <v>37</v>
      </c>
    </row>
    <row r="24" spans="1:29" ht="108">
      <c r="A24" s="36">
        <v>175</v>
      </c>
      <c r="B24" s="37" t="str">
        <f>HYPERLINK("\\intranet-fs4\市）地域振興部\14市民自治推進室\06  市民活動\◎助成・積立・取崩（基金）\00：起案：団体登録\団体情報一覧\団体概要書（更新ごと最新に）pdf\175_prof.pdf","特定非営利活動法人　太陽グループボランティアチーム")</f>
        <v>特定非営利活動法人　太陽グループボランティアチーム</v>
      </c>
      <c r="C24" s="32" t="s">
        <v>159</v>
      </c>
      <c r="D24" s="32" t="s">
        <v>79</v>
      </c>
      <c r="E24" s="33" t="str">
        <f>HYPERLINK("http://www.taiyogroup.jp/npo/","http://www.taiyogroup.jp/npo/")</f>
        <v>http://www.taiyogroup.jp/npo/</v>
      </c>
      <c r="F24" s="34" t="s">
        <v>160</v>
      </c>
      <c r="G24" s="34" t="s">
        <v>161</v>
      </c>
      <c r="H24" s="32" t="s">
        <v>162</v>
      </c>
      <c r="I24" s="32" t="s">
        <v>163</v>
      </c>
      <c r="J24" s="32" t="s">
        <v>164</v>
      </c>
      <c r="K24" s="35"/>
      <c r="L24" s="35" t="s">
        <v>37</v>
      </c>
      <c r="M24" s="35" t="s">
        <v>37</v>
      </c>
      <c r="N24" s="35"/>
      <c r="O24" s="35"/>
      <c r="P24" s="35" t="s">
        <v>37</v>
      </c>
      <c r="Q24" s="35"/>
      <c r="R24" s="35"/>
      <c r="S24" s="35"/>
      <c r="T24" s="35"/>
      <c r="U24" s="35"/>
      <c r="V24" s="35"/>
      <c r="W24" s="35" t="s">
        <v>37</v>
      </c>
      <c r="X24" s="35"/>
      <c r="Y24" s="35"/>
      <c r="Z24" s="35"/>
      <c r="AA24" s="35"/>
      <c r="AB24" s="35"/>
      <c r="AC24" s="35"/>
    </row>
    <row r="25" spans="1:29" s="13" customFormat="1" ht="310.5">
      <c r="A25" s="42">
        <v>176</v>
      </c>
      <c r="B25" s="43" t="str">
        <f>HYPERLINK("\\intranet-fs4\市）地域振興部\14市民自治推進室\06  市民活動\◎助成・積立・取崩（基金）\00：起案：団体登録\団体情報一覧\団体概要書（更新ごと最新に）pdf\176_prof.pdf","東月寒まちづくり協議会「童夢」")</f>
        <v>東月寒まちづくり協議会「童夢」</v>
      </c>
      <c r="C25" s="44" t="s">
        <v>165</v>
      </c>
      <c r="D25" s="44" t="s">
        <v>166</v>
      </c>
      <c r="E25" s="38" t="str">
        <f>HYPERLINK("http://www.higashitsukisamu.jpn.org/","http://www.higashitsukisamu.jpn.org/")</f>
        <v>http://www.higashitsukisamu.jpn.org/</v>
      </c>
      <c r="F25" s="45" t="s">
        <v>167</v>
      </c>
      <c r="G25" s="45" t="s">
        <v>167</v>
      </c>
      <c r="H25" s="44" t="s">
        <v>168</v>
      </c>
      <c r="I25" s="44" t="s">
        <v>169</v>
      </c>
      <c r="J25" s="44" t="s">
        <v>170</v>
      </c>
      <c r="K25" s="46"/>
      <c r="L25" s="46"/>
      <c r="M25" s="46" t="s">
        <v>37</v>
      </c>
      <c r="N25" s="46"/>
      <c r="O25" s="46"/>
      <c r="P25" s="46"/>
      <c r="Q25" s="46"/>
      <c r="R25" s="46"/>
      <c r="S25" s="46" t="s">
        <v>37</v>
      </c>
      <c r="T25" s="46"/>
      <c r="U25" s="46"/>
      <c r="V25" s="46"/>
      <c r="W25" s="46" t="s">
        <v>37</v>
      </c>
      <c r="X25" s="46"/>
      <c r="Y25" s="46"/>
      <c r="Z25" s="46"/>
      <c r="AA25" s="46"/>
      <c r="AB25" s="46"/>
      <c r="AC25" s="46"/>
    </row>
    <row r="26" spans="1:29" ht="27">
      <c r="A26" s="36">
        <v>184</v>
      </c>
      <c r="B26" s="37" t="str">
        <f>HYPERLINK("\\intranet-fs4\市）地域振興部\14市民自治推進室\06  市民活動\◎助成・積立・取崩（基金）\00：起案：団体登録\団体情報一覧\団体概要書（更新ごと最新に）pdf\184_prof.pdf","篠路歌舞伎保存会")</f>
        <v>篠路歌舞伎保存会</v>
      </c>
      <c r="C26" s="32" t="s">
        <v>171</v>
      </c>
      <c r="D26" s="32" t="s">
        <v>172</v>
      </c>
      <c r="E26" s="38" t="str">
        <f>HYPERLINK("","")</f>
        <v/>
      </c>
      <c r="F26" s="34" t="s">
        <v>173</v>
      </c>
      <c r="G26" s="34" t="s">
        <v>173</v>
      </c>
      <c r="H26" s="32" t="s">
        <v>174</v>
      </c>
      <c r="I26" s="32" t="s">
        <v>175</v>
      </c>
      <c r="J26" s="32" t="s">
        <v>176</v>
      </c>
      <c r="K26" s="35"/>
      <c r="L26" s="35"/>
      <c r="M26" s="35" t="s">
        <v>37</v>
      </c>
      <c r="N26" s="35"/>
      <c r="O26" s="35"/>
      <c r="P26" s="35" t="s">
        <v>37</v>
      </c>
      <c r="Q26" s="35"/>
      <c r="R26" s="35"/>
      <c r="S26" s="35"/>
      <c r="T26" s="35"/>
      <c r="U26" s="35"/>
      <c r="V26" s="35"/>
      <c r="W26" s="35" t="s">
        <v>37</v>
      </c>
      <c r="X26" s="35"/>
      <c r="Y26" s="35"/>
      <c r="Z26" s="35"/>
      <c r="AA26" s="35"/>
      <c r="AB26" s="35"/>
      <c r="AC26" s="35" t="s">
        <v>37</v>
      </c>
    </row>
    <row r="27" spans="1:29" ht="27">
      <c r="A27" s="36">
        <v>191</v>
      </c>
      <c r="B27" s="37" t="str">
        <f>HYPERLINK("\\intranet-fs4\市）地域振興部\14市民自治推進室\06  市民活動\◎助成・積立・取崩（基金）\00：起案：団体登録\団体情報一覧\団体概要書（更新ごと最新に）pdf\191_prof.pdf","札幌はまなす少年軟式野球協会")</f>
        <v>札幌はまなす少年軟式野球協会</v>
      </c>
      <c r="C27" s="32" t="s">
        <v>177</v>
      </c>
      <c r="D27" s="32" t="s">
        <v>115</v>
      </c>
      <c r="E27" s="33" t="str">
        <f>HYPERLINK("","")</f>
        <v/>
      </c>
      <c r="F27" s="34" t="s">
        <v>178</v>
      </c>
      <c r="G27" s="34" t="s">
        <v>179</v>
      </c>
      <c r="H27" s="32" t="s">
        <v>180</v>
      </c>
      <c r="I27" s="32" t="s">
        <v>181</v>
      </c>
      <c r="J27" s="32" t="s">
        <v>182</v>
      </c>
      <c r="K27" s="35"/>
      <c r="L27" s="35"/>
      <c r="M27" s="35"/>
      <c r="N27" s="35"/>
      <c r="O27" s="35"/>
      <c r="P27" s="35" t="s">
        <v>37</v>
      </c>
      <c r="Q27" s="35"/>
      <c r="R27" s="35"/>
      <c r="S27" s="35"/>
      <c r="T27" s="35"/>
      <c r="U27" s="35"/>
      <c r="V27" s="35"/>
      <c r="W27" s="35" t="s">
        <v>37</v>
      </c>
      <c r="X27" s="35"/>
      <c r="Y27" s="35"/>
      <c r="Z27" s="35"/>
      <c r="AA27" s="35"/>
      <c r="AB27" s="35"/>
      <c r="AC27" s="35"/>
    </row>
    <row r="28" spans="1:29" ht="94.5">
      <c r="A28" s="36">
        <v>196</v>
      </c>
      <c r="B28" s="37" t="str">
        <f>HYPERLINK("\\intranet-fs4\市）地域振興部\14市民自治推進室\06  市民活動\◎助成・積立・取崩（基金）\00：起案：団体登録\団体情報一覧\団体概要書（更新ごと最新に）pdf\196_prof.pdf","北海道少年軟式野球連盟")</f>
        <v>北海道少年軟式野球連盟</v>
      </c>
      <c r="C28" s="32" t="s">
        <v>183</v>
      </c>
      <c r="D28" s="32" t="s">
        <v>184</v>
      </c>
      <c r="E28" s="33" t="str">
        <f>HYPERLINK("","")</f>
        <v/>
      </c>
      <c r="F28" s="34" t="s">
        <v>185</v>
      </c>
      <c r="G28" s="34" t="s">
        <v>186</v>
      </c>
      <c r="H28" s="32" t="s">
        <v>187</v>
      </c>
      <c r="I28" s="32" t="s">
        <v>188</v>
      </c>
      <c r="J28" s="32" t="s">
        <v>189</v>
      </c>
      <c r="K28" s="35"/>
      <c r="L28" s="35"/>
      <c r="M28" s="35"/>
      <c r="N28" s="35"/>
      <c r="O28" s="35"/>
      <c r="P28" s="35" t="s">
        <v>37</v>
      </c>
      <c r="Q28" s="35"/>
      <c r="R28" s="35"/>
      <c r="S28" s="35"/>
      <c r="T28" s="35"/>
      <c r="U28" s="35"/>
      <c r="V28" s="35"/>
      <c r="W28" s="35" t="s">
        <v>37</v>
      </c>
      <c r="X28" s="35"/>
      <c r="Y28" s="35"/>
      <c r="Z28" s="35"/>
      <c r="AA28" s="35"/>
      <c r="AB28" s="35"/>
      <c r="AC28" s="35"/>
    </row>
    <row r="29" spans="1:29" ht="135">
      <c r="A29" s="36">
        <v>199</v>
      </c>
      <c r="B29" s="37" t="str">
        <f>HYPERLINK("\\intranet-fs4\市）地域振興部\14市民自治推進室\06  市民活動\◎助成・積立・取崩（基金）\00：起案：団体登録\団体情報一覧\団体概要書（更新ごと最新に）pdf\199_prof.pdf","札幌市少年軟式野球連盟")</f>
        <v>札幌市少年軟式野球連盟</v>
      </c>
      <c r="C29" s="32" t="s">
        <v>190</v>
      </c>
      <c r="D29" s="32" t="s">
        <v>191</v>
      </c>
      <c r="E29" s="33" t="str">
        <f>HYPERLINK("","")</f>
        <v/>
      </c>
      <c r="F29" s="34" t="s">
        <v>192</v>
      </c>
      <c r="G29" s="34" t="s">
        <v>193</v>
      </c>
      <c r="H29" s="32" t="s">
        <v>194</v>
      </c>
      <c r="I29" s="32" t="s">
        <v>195</v>
      </c>
      <c r="J29" s="32" t="s">
        <v>196</v>
      </c>
      <c r="K29" s="35"/>
      <c r="L29" s="35" t="s">
        <v>37</v>
      </c>
      <c r="M29" s="35"/>
      <c r="N29" s="35"/>
      <c r="O29" s="35"/>
      <c r="P29" s="35" t="s">
        <v>37</v>
      </c>
      <c r="Q29" s="35"/>
      <c r="R29" s="35"/>
      <c r="S29" s="35" t="s">
        <v>37</v>
      </c>
      <c r="T29" s="35"/>
      <c r="U29" s="35"/>
      <c r="V29" s="35"/>
      <c r="W29" s="35" t="s">
        <v>37</v>
      </c>
      <c r="X29" s="35"/>
      <c r="Y29" s="35"/>
      <c r="Z29" s="35"/>
      <c r="AA29" s="35"/>
      <c r="AB29" s="35"/>
      <c r="AC29" s="35"/>
    </row>
    <row r="30" spans="1:29" ht="94.5">
      <c r="A30" s="36">
        <v>201</v>
      </c>
      <c r="B30" s="37" t="str">
        <f>HYPERLINK("\\intranet-fs4\市）地域振興部\14市民自治推進室\06  市民活動\◎助成・積立・取崩（基金）\00：起案：団体登録\団体情報一覧\団体概要書（更新ごと最新に）pdf\201_prof.pdf","北海道学生柔道連盟")</f>
        <v>北海道学生柔道連盟</v>
      </c>
      <c r="C30" s="32" t="s">
        <v>197</v>
      </c>
      <c r="D30" s="32" t="s">
        <v>198</v>
      </c>
      <c r="E30" s="33" t="str">
        <f>HYPERLINK("","")</f>
        <v/>
      </c>
      <c r="F30" s="34" t="s">
        <v>199</v>
      </c>
      <c r="G30" s="34" t="s">
        <v>199</v>
      </c>
      <c r="H30" s="32" t="s">
        <v>200</v>
      </c>
      <c r="I30" s="32" t="s">
        <v>201</v>
      </c>
      <c r="J30" s="32" t="s">
        <v>202</v>
      </c>
      <c r="K30" s="35"/>
      <c r="L30" s="35"/>
      <c r="M30" s="35"/>
      <c r="N30" s="35"/>
      <c r="O30" s="35"/>
      <c r="P30" s="35" t="s">
        <v>37</v>
      </c>
      <c r="Q30" s="35"/>
      <c r="R30" s="35"/>
      <c r="S30" s="35"/>
      <c r="T30" s="35"/>
      <c r="U30" s="35"/>
      <c r="V30" s="35"/>
      <c r="W30" s="35"/>
      <c r="X30" s="35"/>
      <c r="Y30" s="35"/>
      <c r="Z30" s="35"/>
      <c r="AA30" s="35"/>
      <c r="AB30" s="35"/>
      <c r="AC30" s="35"/>
    </row>
    <row r="31" spans="1:29" ht="216">
      <c r="A31" s="36">
        <v>203</v>
      </c>
      <c r="B31" s="37" t="str">
        <f>HYPERLINK("\\intranet-fs4\市）地域振興部\14市民自治推進室\06  市民活動\◎助成・積立・取崩（基金）\00：起案：団体登録\団体情報一覧\団体概要書（更新ごと最新に）pdf\203_prof.pdf","北海道NGOネットワーク協議会")</f>
        <v>北海道NGOネットワーク協議会</v>
      </c>
      <c r="C31" s="32" t="s">
        <v>203</v>
      </c>
      <c r="D31" s="32" t="s">
        <v>115</v>
      </c>
      <c r="E31" s="33" t="str">
        <f>HYPERLINK("http://www.hk-ngo.net/","http://www.hk-ngo.net/")</f>
        <v>http://www.hk-ngo.net/</v>
      </c>
      <c r="F31" s="34" t="s">
        <v>160</v>
      </c>
      <c r="G31" s="34" t="s">
        <v>160</v>
      </c>
      <c r="H31" s="32" t="s">
        <v>204</v>
      </c>
      <c r="I31" s="32" t="s">
        <v>205</v>
      </c>
      <c r="J31" s="32" t="s">
        <v>206</v>
      </c>
      <c r="K31" s="35"/>
      <c r="L31" s="35"/>
      <c r="M31" s="35"/>
      <c r="N31" s="35"/>
      <c r="O31" s="35"/>
      <c r="P31" s="35"/>
      <c r="Q31" s="35"/>
      <c r="R31" s="35"/>
      <c r="S31" s="35"/>
      <c r="T31" s="35" t="s">
        <v>37</v>
      </c>
      <c r="U31" s="35" t="s">
        <v>37</v>
      </c>
      <c r="V31" s="35"/>
      <c r="W31" s="35"/>
      <c r="X31" s="35"/>
      <c r="Y31" s="35"/>
      <c r="Z31" s="35"/>
      <c r="AA31" s="35"/>
      <c r="AB31" s="35"/>
      <c r="AC31" s="35"/>
    </row>
    <row r="32" spans="1:29" ht="94.5">
      <c r="A32" s="36">
        <v>215</v>
      </c>
      <c r="B32" s="37" t="str">
        <f>HYPERLINK("\\intranet-fs4\市）地域振興部\14市民自治推進室\06  市民活動\◎助成・積立・取崩（基金）\00：起案：団体登録\団体情報一覧\団体概要書（更新ごと最新に）pdf\215_prof.pdf","トリプルアイ")</f>
        <v>トリプルアイ</v>
      </c>
      <c r="C32" s="32" t="s">
        <v>207</v>
      </c>
      <c r="D32" s="32" t="s">
        <v>208</v>
      </c>
      <c r="E32" s="33" t="str">
        <f>HYPERLINK("","")</f>
        <v/>
      </c>
      <c r="F32" s="34" t="s">
        <v>209</v>
      </c>
      <c r="G32" s="34" t="s">
        <v>209</v>
      </c>
      <c r="H32" s="32" t="s">
        <v>210</v>
      </c>
      <c r="I32" s="32" t="s">
        <v>211</v>
      </c>
      <c r="J32" s="32" t="s">
        <v>212</v>
      </c>
      <c r="K32" s="35" t="s">
        <v>37</v>
      </c>
      <c r="L32" s="35"/>
      <c r="M32" s="35"/>
      <c r="N32" s="35"/>
      <c r="O32" s="35"/>
      <c r="P32" s="35"/>
      <c r="Q32" s="35"/>
      <c r="R32" s="35"/>
      <c r="S32" s="35"/>
      <c r="T32" s="35"/>
      <c r="U32" s="35"/>
      <c r="V32" s="35"/>
      <c r="W32" s="35"/>
      <c r="X32" s="35"/>
      <c r="Y32" s="35"/>
      <c r="Z32" s="35"/>
      <c r="AA32" s="35"/>
      <c r="AB32" s="35"/>
      <c r="AC32" s="35"/>
    </row>
    <row r="33" spans="1:29" ht="67.5">
      <c r="A33" s="36">
        <v>216</v>
      </c>
      <c r="B33" s="37" t="str">
        <f>HYPERLINK("\\intranet-fs4\市）地域振興部\14市民自治推進室\06  市民活動\◎助成・積立・取崩（基金）\00：起案：団体登録\団体情報一覧\団体概要書（更新ごと最新に）pdf\216_prof.pdf","北海道女子軟式野球連盟")</f>
        <v>北海道女子軟式野球連盟</v>
      </c>
      <c r="C33" s="32" t="s">
        <v>213</v>
      </c>
      <c r="D33" s="32" t="s">
        <v>214</v>
      </c>
      <c r="E33" s="33" t="str">
        <f>HYPERLINK("http://www55.tok2.com/home/dojoren/","http://www55.tok2.com/home/dojoren/")</f>
        <v>http://www55.tok2.com/home/dojoren/</v>
      </c>
      <c r="F33" s="34" t="s">
        <v>215</v>
      </c>
      <c r="G33" s="34" t="s">
        <v>215</v>
      </c>
      <c r="H33" s="32" t="s">
        <v>216</v>
      </c>
      <c r="I33" s="32" t="s">
        <v>217</v>
      </c>
      <c r="J33" s="32" t="s">
        <v>218</v>
      </c>
      <c r="K33" s="35"/>
      <c r="L33" s="35"/>
      <c r="M33" s="35"/>
      <c r="N33" s="35"/>
      <c r="O33" s="35"/>
      <c r="P33" s="35"/>
      <c r="Q33" s="35"/>
      <c r="R33" s="35"/>
      <c r="S33" s="35"/>
      <c r="T33" s="35"/>
      <c r="U33" s="35"/>
      <c r="V33" s="35"/>
      <c r="W33" s="35"/>
      <c r="X33" s="35"/>
      <c r="Y33" s="35"/>
      <c r="Z33" s="35"/>
      <c r="AA33" s="35"/>
      <c r="AB33" s="35"/>
      <c r="AC33" s="35" t="s">
        <v>37</v>
      </c>
    </row>
    <row r="34" spans="1:29" ht="297">
      <c r="A34" s="36">
        <v>220</v>
      </c>
      <c r="B34" s="37" t="str">
        <f>HYPERLINK("\\intranet-fs4\市）地域振興部\14市民自治推進室\06  市民活動\◎助成・積立・取崩（基金）\00：起案：団体登録\団体情報一覧\団体概要書（更新ごと最新に）pdf\220_prof.pdf","特定非営利活動法人　カラカネイトトンボを守る会　あいあい自然ネットワーク")</f>
        <v>特定非営利活動法人　カラカネイトトンボを守る会　あいあい自然ネットワーク</v>
      </c>
      <c r="C34" s="32" t="s">
        <v>219</v>
      </c>
      <c r="D34" s="32" t="s">
        <v>220</v>
      </c>
      <c r="E34" s="33" t="str">
        <f>HYPERLINK("http://www7b.biglobe.ne.jp/~karakane/","http://www7b.biglobe.ne.jp/~karakane/")</f>
        <v>http://www7b.biglobe.ne.jp/~karakane/</v>
      </c>
      <c r="F34" s="34" t="s">
        <v>221</v>
      </c>
      <c r="G34" s="34" t="s">
        <v>222</v>
      </c>
      <c r="H34" s="32" t="s">
        <v>223</v>
      </c>
      <c r="I34" s="32" t="s">
        <v>224</v>
      </c>
      <c r="J34" s="32" t="s">
        <v>225</v>
      </c>
      <c r="K34" s="35"/>
      <c r="L34" s="35"/>
      <c r="M34" s="35"/>
      <c r="N34" s="35"/>
      <c r="O34" s="35"/>
      <c r="P34" s="35"/>
      <c r="Q34" s="35" t="s">
        <v>37</v>
      </c>
      <c r="R34" s="35"/>
      <c r="S34" s="35"/>
      <c r="T34" s="35"/>
      <c r="U34" s="35"/>
      <c r="V34" s="35"/>
      <c r="W34" s="35"/>
      <c r="X34" s="35"/>
      <c r="Y34" s="35"/>
      <c r="Z34" s="35"/>
      <c r="AA34" s="35"/>
      <c r="AB34" s="35"/>
      <c r="AC34" s="35"/>
    </row>
    <row r="35" spans="1:29" ht="229.5">
      <c r="A35" s="36">
        <v>223</v>
      </c>
      <c r="B35" s="37" t="str">
        <f>HYPERLINK("\\intranet-fs4\市）地域振興部\14市民自治推進室\06  市民活動\◎助成・積立・取崩（基金）\00：起案：団体登録\団体情報一覧\団体概要書（更新ごと最新に）pdf\223_prof.pdf","特定非営利活動法人　北海道森林ボランティア協会")</f>
        <v>特定非営利活動法人　北海道森林ボランティア協会</v>
      </c>
      <c r="C35" s="32" t="s">
        <v>226</v>
      </c>
      <c r="D35" s="32" t="s">
        <v>227</v>
      </c>
      <c r="E35" s="33" t="str">
        <f>HYPERLINK("http://shinrin-npo.info/","http://shinrin-npo.info/")</f>
        <v>http://shinrin-npo.info/</v>
      </c>
      <c r="F35" s="34" t="s">
        <v>228</v>
      </c>
      <c r="G35" s="34" t="s">
        <v>229</v>
      </c>
      <c r="H35" s="32" t="s">
        <v>230</v>
      </c>
      <c r="I35" s="32" t="s">
        <v>231</v>
      </c>
      <c r="J35" s="32" t="s">
        <v>232</v>
      </c>
      <c r="K35" s="35"/>
      <c r="L35" s="35"/>
      <c r="M35" s="35"/>
      <c r="N35" s="35"/>
      <c r="O35" s="35"/>
      <c r="P35" s="35"/>
      <c r="Q35" s="35" t="s">
        <v>37</v>
      </c>
      <c r="R35" s="35"/>
      <c r="S35" s="35"/>
      <c r="T35" s="35"/>
      <c r="U35" s="35" t="s">
        <v>37</v>
      </c>
      <c r="V35" s="35"/>
      <c r="W35" s="35" t="s">
        <v>37</v>
      </c>
      <c r="X35" s="35"/>
      <c r="Y35" s="35"/>
      <c r="Z35" s="35"/>
      <c r="AA35" s="35"/>
      <c r="AB35" s="35"/>
      <c r="AC35" s="35"/>
    </row>
    <row r="36" spans="1:29" ht="202.5">
      <c r="A36" s="36">
        <v>227</v>
      </c>
      <c r="B36" s="37" t="str">
        <f>HYPERLINK("\\intranet-fs4\市）地域振興部\14市民自治推進室\06  市民活動\◎助成・積立・取崩（基金）\00：起案：団体登録\団体情報一覧\団体概要書（更新ごと最新に）pdf\227_prof.pdf","東札幌町内連合会")</f>
        <v>東札幌町内連合会</v>
      </c>
      <c r="C36" s="32" t="s">
        <v>233</v>
      </c>
      <c r="D36" s="32" t="s">
        <v>234</v>
      </c>
      <c r="E36" s="33" t="str">
        <f>HYPERLINK("","")</f>
        <v/>
      </c>
      <c r="F36" s="34" t="s">
        <v>235</v>
      </c>
      <c r="G36" s="34" t="s">
        <v>235</v>
      </c>
      <c r="H36" s="32" t="s">
        <v>236</v>
      </c>
      <c r="I36" s="32" t="s">
        <v>237</v>
      </c>
      <c r="J36" s="32" t="s">
        <v>238</v>
      </c>
      <c r="K36" s="35"/>
      <c r="L36" s="35"/>
      <c r="M36" s="35" t="s">
        <v>37</v>
      </c>
      <c r="N36" s="35"/>
      <c r="O36" s="35"/>
      <c r="P36" s="35"/>
      <c r="Q36" s="35"/>
      <c r="R36" s="35"/>
      <c r="S36" s="35"/>
      <c r="T36" s="35"/>
      <c r="U36" s="35"/>
      <c r="V36" s="35"/>
      <c r="W36" s="35"/>
      <c r="X36" s="35"/>
      <c r="Y36" s="35"/>
      <c r="Z36" s="35"/>
      <c r="AA36" s="35"/>
      <c r="AB36" s="35"/>
      <c r="AC36" s="35"/>
    </row>
    <row r="37" spans="1:29" ht="148.5">
      <c r="A37" s="36">
        <v>233</v>
      </c>
      <c r="B37" s="37" t="str">
        <f>HYPERLINK("\\intranet-fs4\市）地域振興部\14市民自治推進室\06  市民活動\◎助成・積立・取崩（基金）\00：起案：団体登録\団体情報一覧\団体概要書（更新ごと最新に）pdf\233_prof.pdf","北海道容器包装の簡素化を進める連絡会")</f>
        <v>北海道容器包装の簡素化を進める連絡会</v>
      </c>
      <c r="C37" s="32" t="s">
        <v>239</v>
      </c>
      <c r="D37" s="32" t="s">
        <v>240</v>
      </c>
      <c r="E37" s="33" t="str">
        <f>HYPERLINK("http://yokihoso.jimdo.com/","http://yokihoso.jimdo.com/")</f>
        <v>http://yokihoso.jimdo.com/</v>
      </c>
      <c r="F37" s="34" t="s">
        <v>143</v>
      </c>
      <c r="G37" s="34" t="s">
        <v>143</v>
      </c>
      <c r="H37" s="32" t="s">
        <v>241</v>
      </c>
      <c r="I37" s="32" t="s">
        <v>242</v>
      </c>
      <c r="J37" s="32" t="s">
        <v>243</v>
      </c>
      <c r="K37" s="35"/>
      <c r="L37" s="35"/>
      <c r="M37" s="35"/>
      <c r="N37" s="35"/>
      <c r="O37" s="35"/>
      <c r="P37" s="35"/>
      <c r="Q37" s="35" t="s">
        <v>37</v>
      </c>
      <c r="R37" s="35"/>
      <c r="S37" s="35"/>
      <c r="T37" s="35"/>
      <c r="U37" s="35"/>
      <c r="V37" s="35"/>
      <c r="W37" s="35"/>
      <c r="X37" s="35"/>
      <c r="Y37" s="35"/>
      <c r="Z37" s="35"/>
      <c r="AA37" s="35"/>
      <c r="AB37" s="35"/>
      <c r="AC37" s="35"/>
    </row>
    <row r="38" spans="1:29" ht="108">
      <c r="A38" s="36">
        <v>246</v>
      </c>
      <c r="B38" s="37" t="str">
        <f>HYPERLINK("\\intranet-fs4\市）地域振興部\14市民自治推進室\06  市民活動\◎助成・積立・取崩（基金）\00：起案：団体登録\団体情報一覧\団体概要書（更新ごと最新に）pdf\246_prof.pdf","新芸能集団｢乱拍子」")</f>
        <v>新芸能集団｢乱拍子」</v>
      </c>
      <c r="C38" s="32" t="s">
        <v>244</v>
      </c>
      <c r="D38" s="32" t="s">
        <v>245</v>
      </c>
      <c r="E38" s="33" t="str">
        <f>HYPERLINK("http://www.ranbyoshi.com/","http://www.ranbyoshi.com/")</f>
        <v>http://www.ranbyoshi.com/</v>
      </c>
      <c r="F38" s="34" t="s">
        <v>105</v>
      </c>
      <c r="G38" s="34" t="s">
        <v>105</v>
      </c>
      <c r="H38" s="32" t="s">
        <v>246</v>
      </c>
      <c r="I38" s="32" t="s">
        <v>247</v>
      </c>
      <c r="J38" s="32" t="s">
        <v>248</v>
      </c>
      <c r="K38" s="35"/>
      <c r="L38" s="35"/>
      <c r="M38" s="35"/>
      <c r="N38" s="35" t="s">
        <v>37</v>
      </c>
      <c r="O38" s="35"/>
      <c r="P38" s="35" t="s">
        <v>37</v>
      </c>
      <c r="Q38" s="35"/>
      <c r="R38" s="35"/>
      <c r="S38" s="35"/>
      <c r="T38" s="35"/>
      <c r="U38" s="35" t="s">
        <v>37</v>
      </c>
      <c r="V38" s="35"/>
      <c r="W38" s="35" t="s">
        <v>37</v>
      </c>
      <c r="X38" s="35"/>
      <c r="Y38" s="35"/>
      <c r="Z38" s="35"/>
      <c r="AA38" s="35"/>
      <c r="AB38" s="35"/>
      <c r="AC38" s="35"/>
    </row>
    <row r="39" spans="1:29" ht="229.5">
      <c r="A39" s="36">
        <v>248</v>
      </c>
      <c r="B39" s="37" t="str">
        <f>HYPERLINK("\\intranet-fs4\市）地域振興部\14市民自治推進室\06  市民活動\◎助成・積立・取崩（基金）\00：起案：団体登録\団体情報一覧\団体概要書（更新ごと最新に）pdf\248_prof.pdf","白石東地区まちづくり協議会")</f>
        <v>白石東地区まちづくり協議会</v>
      </c>
      <c r="C39" s="32" t="s">
        <v>249</v>
      </c>
      <c r="D39" s="32" t="s">
        <v>250</v>
      </c>
      <c r="E39" s="37" t="str">
        <f>HYPERLINK("","")</f>
        <v/>
      </c>
      <c r="F39" s="34" t="s">
        <v>251</v>
      </c>
      <c r="G39" s="34" t="s">
        <v>252</v>
      </c>
      <c r="H39" s="32" t="s">
        <v>253</v>
      </c>
      <c r="I39" s="32" t="s">
        <v>254</v>
      </c>
      <c r="J39" s="32" t="s">
        <v>255</v>
      </c>
      <c r="K39" s="35"/>
      <c r="L39" s="35"/>
      <c r="M39" s="35" t="s">
        <v>37</v>
      </c>
      <c r="N39" s="35"/>
      <c r="O39" s="35"/>
      <c r="P39" s="35"/>
      <c r="Q39" s="35" t="s">
        <v>37</v>
      </c>
      <c r="R39" s="35"/>
      <c r="S39" s="35" t="s">
        <v>37</v>
      </c>
      <c r="T39" s="35"/>
      <c r="U39" s="35"/>
      <c r="V39" s="35"/>
      <c r="W39" s="35" t="s">
        <v>37</v>
      </c>
      <c r="X39" s="35"/>
      <c r="Y39" s="35"/>
      <c r="Z39" s="35"/>
      <c r="AA39" s="35"/>
      <c r="AB39" s="35"/>
      <c r="AC39" s="35"/>
    </row>
    <row r="40" spans="1:29" ht="135">
      <c r="A40" s="36">
        <v>255</v>
      </c>
      <c r="B40" s="37" t="str">
        <f>HYPERLINK("\\intranet-fs4\市）地域振興部\14市民自治推進室\06  市民活動\◎助成・積立・取崩（基金）\00：起案：団体登録\団体情報一覧\団体概要書（更新ごと最新に）pdf\255_prof.pdf","ピンクリボンinSAPPORO")</f>
        <v>ピンクリボンinSAPPORO</v>
      </c>
      <c r="C40" s="32" t="s">
        <v>256</v>
      </c>
      <c r="D40" s="32" t="s">
        <v>257</v>
      </c>
      <c r="E40" s="33" t="str">
        <f>HYPERLINK("http://pinkribbonsapporo.web.fc2.com/","http://pinkribbonsapporo.web.fc2.com/")</f>
        <v>http://pinkribbonsapporo.web.fc2.com/</v>
      </c>
      <c r="F40" s="34" t="s">
        <v>258</v>
      </c>
      <c r="G40" s="34" t="s">
        <v>258</v>
      </c>
      <c r="H40" s="32" t="s">
        <v>259</v>
      </c>
      <c r="I40" s="32" t="s">
        <v>260</v>
      </c>
      <c r="J40" s="32" t="s">
        <v>261</v>
      </c>
      <c r="K40" s="35" t="s">
        <v>37</v>
      </c>
      <c r="L40" s="35"/>
      <c r="M40" s="35"/>
      <c r="N40" s="35"/>
      <c r="O40" s="35"/>
      <c r="P40" s="35"/>
      <c r="Q40" s="35"/>
      <c r="R40" s="35"/>
      <c r="S40" s="35"/>
      <c r="T40" s="35"/>
      <c r="U40" s="35"/>
      <c r="V40" s="35"/>
      <c r="W40" s="35"/>
      <c r="X40" s="35"/>
      <c r="Y40" s="35"/>
      <c r="Z40" s="35"/>
      <c r="AA40" s="35" t="s">
        <v>37</v>
      </c>
      <c r="AB40" s="35"/>
      <c r="AC40" s="35" t="s">
        <v>37</v>
      </c>
    </row>
    <row r="41" spans="1:29" ht="202.5">
      <c r="A41" s="36">
        <v>256</v>
      </c>
      <c r="B41" s="37" t="str">
        <f>HYPERLINK("\\intranet-fs4\市）地域振興部\14市民自治推進室\06  市民活動\◎助成・積立・取崩（基金）\00：起案：団体登録\団体情報一覧\団体概要書（更新ごと最新に）pdf\256_prof.pdf","認定特定非営利活動法人　北海道自由が丘学園・ともに人間教育をすすめる会")</f>
        <v>認定特定非営利活動法人　北海道自由が丘学園・ともに人間教育をすすめる会</v>
      </c>
      <c r="C41" s="32" t="s">
        <v>262</v>
      </c>
      <c r="D41" s="32" t="s">
        <v>263</v>
      </c>
      <c r="E41" s="38" t="str">
        <f>HYPERLINK("www.hokjioka.net","www.hokjioka.net")</f>
        <v>www.hokjioka.net</v>
      </c>
      <c r="F41" s="34" t="s">
        <v>264</v>
      </c>
      <c r="G41" s="34" t="s">
        <v>33</v>
      </c>
      <c r="H41" s="32" t="s">
        <v>265</v>
      </c>
      <c r="I41" s="32" t="s">
        <v>266</v>
      </c>
      <c r="J41" s="44" t="s">
        <v>267</v>
      </c>
      <c r="K41" s="35"/>
      <c r="L41" s="35" t="s">
        <v>37</v>
      </c>
      <c r="M41" s="35"/>
      <c r="N41" s="35"/>
      <c r="O41" s="35"/>
      <c r="P41" s="35"/>
      <c r="Q41" s="35" t="s">
        <v>37</v>
      </c>
      <c r="R41" s="35"/>
      <c r="S41" s="35"/>
      <c r="T41" s="35"/>
      <c r="U41" s="35"/>
      <c r="V41" s="35"/>
      <c r="W41" s="35" t="s">
        <v>37</v>
      </c>
      <c r="X41" s="35"/>
      <c r="Y41" s="35"/>
      <c r="Z41" s="35"/>
      <c r="AA41" s="35"/>
      <c r="AB41" s="35"/>
      <c r="AC41" s="35" t="s">
        <v>37</v>
      </c>
    </row>
    <row r="42" spans="1:29" ht="121.5">
      <c r="A42" s="36">
        <v>261</v>
      </c>
      <c r="B42" s="37" t="str">
        <f>HYPERLINK("\\intranet-fs4\市）地域振興部\14市民自治推進室\06  市民活動\◎助成・積立・取崩（基金）\00：起案：団体登録\団体情報一覧\団体概要書（更新ごと最新に）pdf\261_prof.pdf","一般社団法人　札幌ＹＷＣＡ")</f>
        <v>一般社団法人　札幌ＹＷＣＡ</v>
      </c>
      <c r="C42" s="32" t="s">
        <v>268</v>
      </c>
      <c r="D42" s="32" t="s">
        <v>269</v>
      </c>
      <c r="E42" s="33" t="str">
        <f>HYPERLINK("http://www.ywca.or.jp/~ywca0037/home.htm","http://www.ywca.or.jp/~ywca0037/home.htm")</f>
        <v>http://www.ywca.or.jp/~ywca0037/home.htm</v>
      </c>
      <c r="F42" s="34" t="s">
        <v>270</v>
      </c>
      <c r="G42" s="34" t="s">
        <v>270</v>
      </c>
      <c r="H42" s="32" t="s">
        <v>271</v>
      </c>
      <c r="I42" s="32" t="s">
        <v>272</v>
      </c>
      <c r="J42" s="32" t="s">
        <v>273</v>
      </c>
      <c r="K42" s="35"/>
      <c r="L42" s="35" t="s">
        <v>37</v>
      </c>
      <c r="M42" s="35"/>
      <c r="N42" s="35"/>
      <c r="O42" s="35"/>
      <c r="P42" s="35" t="s">
        <v>37</v>
      </c>
      <c r="Q42" s="35"/>
      <c r="R42" s="35"/>
      <c r="S42" s="35"/>
      <c r="T42" s="35" t="s">
        <v>37</v>
      </c>
      <c r="U42" s="35" t="s">
        <v>37</v>
      </c>
      <c r="V42" s="35"/>
      <c r="W42" s="35" t="s">
        <v>37</v>
      </c>
      <c r="X42" s="35"/>
      <c r="Y42" s="35"/>
      <c r="Z42" s="35"/>
      <c r="AA42" s="35" t="s">
        <v>37</v>
      </c>
      <c r="AB42" s="35"/>
      <c r="AC42" s="35"/>
    </row>
    <row r="43" spans="1:29" ht="283.5">
      <c r="A43" s="36">
        <v>262</v>
      </c>
      <c r="B43" s="37" t="str">
        <f>HYPERLINK("\\intranet-fs4\市）地域振興部\14市民自治推進室\06  市民活動\◎助成・積立・取崩（基金）\00：起案：団体登録\団体情報一覧\団体概要書（更新ごと最新に）pdf\262_prof.pdf","ミュージック・ギフト・プロジェクト運営委員会")</f>
        <v>ミュージック・ギフト・プロジェクト運営委員会</v>
      </c>
      <c r="C43" s="32" t="s">
        <v>274</v>
      </c>
      <c r="D43" s="32" t="s">
        <v>115</v>
      </c>
      <c r="E43" s="33" t="str">
        <f>HYPERLINK("","")</f>
        <v/>
      </c>
      <c r="F43" s="34" t="s">
        <v>275</v>
      </c>
      <c r="G43" s="34" t="s">
        <v>276</v>
      </c>
      <c r="H43" s="32" t="s">
        <v>277</v>
      </c>
      <c r="I43" s="32" t="s">
        <v>278</v>
      </c>
      <c r="J43" s="32" t="s">
        <v>279</v>
      </c>
      <c r="K43" s="35"/>
      <c r="L43" s="35"/>
      <c r="M43" s="35" t="s">
        <v>37</v>
      </c>
      <c r="N43" s="35" t="s">
        <v>37</v>
      </c>
      <c r="O43" s="35"/>
      <c r="P43" s="35" t="s">
        <v>37</v>
      </c>
      <c r="Q43" s="35"/>
      <c r="R43" s="35"/>
      <c r="S43" s="35"/>
      <c r="T43" s="35"/>
      <c r="U43" s="35"/>
      <c r="V43" s="35"/>
      <c r="W43" s="35" t="s">
        <v>37</v>
      </c>
      <c r="X43" s="35"/>
      <c r="Y43" s="35"/>
      <c r="Z43" s="35" t="s">
        <v>37</v>
      </c>
      <c r="AA43" s="35"/>
      <c r="AB43" s="35"/>
      <c r="AC43" s="35"/>
    </row>
    <row r="44" spans="1:29" ht="108">
      <c r="A44" s="36">
        <v>263</v>
      </c>
      <c r="B44" s="37" t="str">
        <f>HYPERLINK("\\intranet-fs4\市）地域振興部\14市民自治推進室\06  市民活動\◎助成・積立・取崩（基金）\00：起案：団体登録\団体情報一覧\団体概要書（更新ごと最新に）pdf\263_prof.pdf","特定非営利活動法人　北海道ＣＡＰをすすめる会")</f>
        <v>特定非営利活動法人　北海道ＣＡＰをすすめる会</v>
      </c>
      <c r="C44" s="32" t="s">
        <v>280</v>
      </c>
      <c r="D44" s="32" t="s">
        <v>281</v>
      </c>
      <c r="E44" s="33" t="str">
        <f>HYPERLINK("https://www.facebook.com/info.do.cap","https://www.facebook.com/info.do.cap")</f>
        <v>https://www.facebook.com/info.do.cap</v>
      </c>
      <c r="F44" s="34" t="s">
        <v>282</v>
      </c>
      <c r="G44" s="34" t="s">
        <v>282</v>
      </c>
      <c r="H44" s="32" t="s">
        <v>283</v>
      </c>
      <c r="I44" s="32" t="s">
        <v>284</v>
      </c>
      <c r="J44" s="32" t="s">
        <v>285</v>
      </c>
      <c r="K44" s="35" t="s">
        <v>37</v>
      </c>
      <c r="L44" s="35" t="s">
        <v>37</v>
      </c>
      <c r="M44" s="35" t="s">
        <v>37</v>
      </c>
      <c r="N44" s="35" t="s">
        <v>37</v>
      </c>
      <c r="O44" s="35"/>
      <c r="P44" s="35" t="s">
        <v>37</v>
      </c>
      <c r="Q44" s="35"/>
      <c r="R44" s="35"/>
      <c r="S44" s="35" t="s">
        <v>37</v>
      </c>
      <c r="T44" s="35" t="s">
        <v>37</v>
      </c>
      <c r="U44" s="35"/>
      <c r="V44" s="35" t="s">
        <v>37</v>
      </c>
      <c r="W44" s="35" t="s">
        <v>37</v>
      </c>
      <c r="X44" s="35"/>
      <c r="Y44" s="35"/>
      <c r="Z44" s="35"/>
      <c r="AA44" s="35"/>
      <c r="AB44" s="35"/>
      <c r="AC44" s="35" t="s">
        <v>37</v>
      </c>
    </row>
    <row r="45" spans="1:29" ht="135">
      <c r="A45" s="36">
        <v>268</v>
      </c>
      <c r="B45" s="37" t="str">
        <f>HYPERLINK("\\intranet-fs4\市）地域振興部\14市民自治推進室\06  市民活動\◎助成・積立・取崩（基金）\00：起案：団体登録\団体情報一覧\団体概要書（更新ごと最新に）pdf\268_prof.pdf","桑園交流ネットワーク")</f>
        <v>桑園交流ネットワーク</v>
      </c>
      <c r="C45" s="32" t="s">
        <v>286</v>
      </c>
      <c r="D45" s="32" t="s">
        <v>287</v>
      </c>
      <c r="E45" s="33" t="str">
        <f>HYPERLINK("http://souen-kawaraban.jimdo.com/","http://souen-kawaraban.jimdo.com/")</f>
        <v>http://souen-kawaraban.jimdo.com/</v>
      </c>
      <c r="F45" s="34" t="s">
        <v>276</v>
      </c>
      <c r="G45" s="34" t="s">
        <v>288</v>
      </c>
      <c r="H45" s="32" t="s">
        <v>289</v>
      </c>
      <c r="I45" s="32" t="s">
        <v>290</v>
      </c>
      <c r="J45" s="32" t="s">
        <v>291</v>
      </c>
      <c r="K45" s="35"/>
      <c r="L45" s="35"/>
      <c r="M45" s="35" t="s">
        <v>37</v>
      </c>
      <c r="N45" s="35"/>
      <c r="O45" s="35"/>
      <c r="P45" s="35"/>
      <c r="Q45" s="35"/>
      <c r="R45" s="35"/>
      <c r="S45" s="35" t="s">
        <v>37</v>
      </c>
      <c r="T45" s="35"/>
      <c r="U45" s="35"/>
      <c r="V45" s="35"/>
      <c r="W45" s="35"/>
      <c r="X45" s="35"/>
      <c r="Y45" s="35"/>
      <c r="Z45" s="35"/>
      <c r="AA45" s="35"/>
      <c r="AB45" s="35"/>
      <c r="AC45" s="35"/>
    </row>
    <row r="46" spans="1:29" ht="121.5">
      <c r="A46" s="36">
        <v>276</v>
      </c>
      <c r="B46" s="37" t="str">
        <f>HYPERLINK("\\intranet-fs4\市）地域振興部\14市民自治推進室\06  市民活動\◎助成・積立・取崩（基金）\00：起案：団体登録\団体情報一覧\団体概要書（更新ごと最新に）pdf\276_prof.pdf","札幌市ACSネットワーク事務局")</f>
        <v>札幌市ACSネットワーク事務局</v>
      </c>
      <c r="C46" s="32" t="s">
        <v>292</v>
      </c>
      <c r="D46" s="32" t="s">
        <v>257</v>
      </c>
      <c r="E46" s="33" t="str">
        <f>HYPERLINK("http://acsn.web.fc2.com/","http://acsn.web.fc2.com/")</f>
        <v>http://acsn.web.fc2.com/</v>
      </c>
      <c r="F46" s="34" t="s">
        <v>293</v>
      </c>
      <c r="G46" s="34" t="s">
        <v>294</v>
      </c>
      <c r="H46" s="32" t="s">
        <v>295</v>
      </c>
      <c r="I46" s="32" t="s">
        <v>296</v>
      </c>
      <c r="J46" s="32" t="s">
        <v>297</v>
      </c>
      <c r="K46" s="35" t="s">
        <v>37</v>
      </c>
      <c r="L46" s="35"/>
      <c r="M46" s="35"/>
      <c r="N46" s="35"/>
      <c r="O46" s="35"/>
      <c r="P46" s="35"/>
      <c r="Q46" s="35"/>
      <c r="R46" s="35"/>
      <c r="S46" s="35"/>
      <c r="T46" s="35"/>
      <c r="U46" s="35"/>
      <c r="V46" s="35"/>
      <c r="W46" s="35"/>
      <c r="X46" s="35"/>
      <c r="Y46" s="35"/>
      <c r="Z46" s="35"/>
      <c r="AA46" s="35"/>
      <c r="AB46" s="35"/>
      <c r="AC46" s="35"/>
    </row>
    <row r="47" spans="1:29" ht="148.5">
      <c r="A47" s="36">
        <v>283</v>
      </c>
      <c r="B47" s="37" t="str">
        <f>HYPERLINK("\\intranet-fs4\市）地域振興部\14市民自治推進室\06  市民活動\◎助成・積立・取崩（基金）\00：起案：団体登録\団体情報一覧\団体概要書（更新ごと最新に）pdf\283_prof.pdf","札幌市中央卸売市場 イベント事業実行委員会")</f>
        <v>札幌市中央卸売市場 イベント事業実行委員会</v>
      </c>
      <c r="C47" s="32" t="s">
        <v>298</v>
      </c>
      <c r="D47" s="32" t="s">
        <v>299</v>
      </c>
      <c r="E47" s="47" t="str">
        <f>HYPERLINK("","")</f>
        <v/>
      </c>
      <c r="F47" s="34" t="s">
        <v>300</v>
      </c>
      <c r="G47" s="34" t="s">
        <v>300</v>
      </c>
      <c r="H47" s="32" t="s">
        <v>301</v>
      </c>
      <c r="I47" s="32" t="s">
        <v>302</v>
      </c>
      <c r="J47" s="32" t="s">
        <v>303</v>
      </c>
      <c r="K47" s="35"/>
      <c r="L47" s="35"/>
      <c r="M47" s="35"/>
      <c r="N47" s="35"/>
      <c r="O47" s="35"/>
      <c r="P47" s="35"/>
      <c r="Q47" s="35"/>
      <c r="R47" s="35"/>
      <c r="S47" s="35"/>
      <c r="T47" s="35"/>
      <c r="U47" s="35"/>
      <c r="V47" s="35"/>
      <c r="W47" s="35"/>
      <c r="X47" s="35"/>
      <c r="Y47" s="35"/>
      <c r="Z47" s="35" t="s">
        <v>37</v>
      </c>
      <c r="AA47" s="35"/>
      <c r="AB47" s="35"/>
      <c r="AC47" s="35"/>
    </row>
    <row r="48" spans="1:29" ht="283.5">
      <c r="A48" s="36">
        <v>286</v>
      </c>
      <c r="B48" s="33" t="str">
        <f>HYPERLINK("\\intranet-fs4\市）地域振興部\14市民自治推進室\06  市民活動\◎助成・積立・取崩（基金）\00：起案：団体登録\団体情報一覧\団体概要書（更新ごと最新に）pdf\286_prof.pdf","特定非営利活動法人　ふまねっと")</f>
        <v>特定非営利活動法人　ふまねっと</v>
      </c>
      <c r="C48" s="32" t="s">
        <v>304</v>
      </c>
      <c r="D48" s="32" t="s">
        <v>305</v>
      </c>
      <c r="E48" s="33" t="str">
        <f>HYPERLINK("http://www.1to3.jp/","http://www.1to3.jp/")</f>
        <v>http://www.1to3.jp/</v>
      </c>
      <c r="F48" s="34" t="s">
        <v>306</v>
      </c>
      <c r="G48" s="34" t="s">
        <v>307</v>
      </c>
      <c r="H48" s="32" t="s">
        <v>308</v>
      </c>
      <c r="I48" s="32" t="s">
        <v>309</v>
      </c>
      <c r="J48" s="32" t="s">
        <v>310</v>
      </c>
      <c r="K48" s="35" t="s">
        <v>37</v>
      </c>
      <c r="L48" s="35" t="s">
        <v>37</v>
      </c>
      <c r="M48" s="35" t="s">
        <v>37</v>
      </c>
      <c r="N48" s="35"/>
      <c r="O48" s="35"/>
      <c r="P48" s="35" t="s">
        <v>37</v>
      </c>
      <c r="Q48" s="35" t="s">
        <v>37</v>
      </c>
      <c r="R48" s="35"/>
      <c r="S48" s="35" t="s">
        <v>37</v>
      </c>
      <c r="T48" s="35"/>
      <c r="U48" s="35"/>
      <c r="V48" s="35"/>
      <c r="W48" s="35"/>
      <c r="X48" s="35"/>
      <c r="Y48" s="35"/>
      <c r="Z48" s="35"/>
      <c r="AA48" s="35" t="s">
        <v>37</v>
      </c>
      <c r="AB48" s="35"/>
      <c r="AC48" s="35" t="s">
        <v>37</v>
      </c>
    </row>
    <row r="49" spans="1:29" ht="94.5">
      <c r="A49" s="36">
        <v>288</v>
      </c>
      <c r="B49" s="37" t="str">
        <f>HYPERLINK("\\intranet-fs4\市）地域振興部\14市民自治推進室\06  市民活動\◎助成・積立・取崩（基金）\00：起案：団体登録\団体情報一覧\団体概要書（更新ごと最新に）pdf\288_prof.pdf","特定非営利活動法人　福島の子どもたちを守る会・北海道")</f>
        <v>特定非営利活動法人　福島の子どもたちを守る会・北海道</v>
      </c>
      <c r="C49" s="32" t="s">
        <v>311</v>
      </c>
      <c r="D49" s="32" t="s">
        <v>79</v>
      </c>
      <c r="E49" s="33" t="str">
        <f>HYPERLINK("http://fukushimakids.org/","http://fukushimakids.org/")</f>
        <v>http://fukushimakids.org/</v>
      </c>
      <c r="F49" s="34" t="s">
        <v>312</v>
      </c>
      <c r="G49" s="34" t="s">
        <v>313</v>
      </c>
      <c r="H49" s="32" t="s">
        <v>314</v>
      </c>
      <c r="I49" s="32" t="s">
        <v>315</v>
      </c>
      <c r="J49" s="32" t="s">
        <v>316</v>
      </c>
      <c r="K49" s="35"/>
      <c r="L49" s="35"/>
      <c r="M49" s="35" t="s">
        <v>37</v>
      </c>
      <c r="N49" s="35"/>
      <c r="O49" s="35"/>
      <c r="P49" s="35"/>
      <c r="Q49" s="35" t="s">
        <v>37</v>
      </c>
      <c r="R49" s="35"/>
      <c r="S49" s="35"/>
      <c r="T49" s="35" t="s">
        <v>37</v>
      </c>
      <c r="U49" s="35"/>
      <c r="V49" s="35"/>
      <c r="W49" s="35" t="s">
        <v>37</v>
      </c>
      <c r="X49" s="35"/>
      <c r="Y49" s="35"/>
      <c r="Z49" s="35"/>
      <c r="AA49" s="35"/>
      <c r="AB49" s="35"/>
      <c r="AC49" s="35"/>
    </row>
    <row r="50" spans="1:29" ht="148.5">
      <c r="A50" s="36">
        <v>303</v>
      </c>
      <c r="B50" s="37" t="str">
        <f>HYPERLINK("\\intranet-fs4\市）地域振興部\14市民自治推進室\06  市民活動\◎助成・積立・取崩（基金）\00：起案：団体登録\団体情報一覧\団体概要書（更新ごと最新に）pdf\303_prof.pdf","西岡地区町内会連合会")</f>
        <v>西岡地区町内会連合会</v>
      </c>
      <c r="C50" s="32" t="s">
        <v>317</v>
      </c>
      <c r="D50" s="32" t="s">
        <v>318</v>
      </c>
      <c r="E50" s="33" t="str">
        <f>HYPERLINK("","")</f>
        <v/>
      </c>
      <c r="F50" s="34" t="s">
        <v>319</v>
      </c>
      <c r="G50" s="34" t="s">
        <v>319</v>
      </c>
      <c r="H50" s="32" t="s">
        <v>320</v>
      </c>
      <c r="I50" s="32" t="s">
        <v>321</v>
      </c>
      <c r="J50" s="32" t="s">
        <v>322</v>
      </c>
      <c r="K50" s="35" t="s">
        <v>37</v>
      </c>
      <c r="L50" s="35" t="s">
        <v>37</v>
      </c>
      <c r="M50" s="35" t="s">
        <v>37</v>
      </c>
      <c r="N50" s="35"/>
      <c r="O50" s="35"/>
      <c r="P50" s="35" t="s">
        <v>37</v>
      </c>
      <c r="Q50" s="35" t="s">
        <v>37</v>
      </c>
      <c r="R50" s="35"/>
      <c r="S50" s="35" t="s">
        <v>37</v>
      </c>
      <c r="T50" s="35"/>
      <c r="U50" s="35"/>
      <c r="V50" s="35"/>
      <c r="W50" s="35" t="s">
        <v>37</v>
      </c>
      <c r="X50" s="35"/>
      <c r="Y50" s="35"/>
      <c r="Z50" s="35"/>
      <c r="AA50" s="35"/>
      <c r="AB50" s="35" t="s">
        <v>37</v>
      </c>
      <c r="AC50" s="35" t="s">
        <v>37</v>
      </c>
    </row>
    <row r="51" spans="1:29" ht="202.5">
      <c r="A51" s="36">
        <v>314</v>
      </c>
      <c r="B51" s="37" t="str">
        <f>HYPERLINK("\\intranet-fs4\市）地域振興部\14市民自治推進室\06  市民活動\◎助成・積立・取崩（基金）\00：起案：団体登録\団体情報一覧\団体概要書（更新ごと最新に）pdf\314_prof.pdf","重複聴覚障害者と高齢ろうあ者の在宅福祉を考える会「とも」")</f>
        <v>重複聴覚障害者と高齢ろうあ者の在宅福祉を考える会「とも」</v>
      </c>
      <c r="C51" s="32" t="s">
        <v>323</v>
      </c>
      <c r="D51" s="32" t="s">
        <v>79</v>
      </c>
      <c r="E51" s="41"/>
      <c r="F51" s="34" t="s">
        <v>324</v>
      </c>
      <c r="G51" s="34" t="s">
        <v>324</v>
      </c>
      <c r="H51" s="32" t="s">
        <v>325</v>
      </c>
      <c r="I51" s="32" t="s">
        <v>326</v>
      </c>
      <c r="J51" s="32" t="s">
        <v>327</v>
      </c>
      <c r="K51" s="35" t="s">
        <v>37</v>
      </c>
      <c r="L51" s="35"/>
      <c r="M51" s="35" t="s">
        <v>37</v>
      </c>
      <c r="N51" s="35"/>
      <c r="O51" s="35"/>
      <c r="P51" s="35"/>
      <c r="Q51" s="35"/>
      <c r="R51" s="35"/>
      <c r="S51" s="35"/>
      <c r="T51" s="35"/>
      <c r="U51" s="35"/>
      <c r="V51" s="35"/>
      <c r="W51" s="35"/>
      <c r="X51" s="35"/>
      <c r="Y51" s="35"/>
      <c r="Z51" s="35"/>
      <c r="AA51" s="35"/>
      <c r="AB51" s="35"/>
      <c r="AC51" s="35"/>
    </row>
    <row r="52" spans="1:29" ht="108">
      <c r="A52" s="36">
        <v>321</v>
      </c>
      <c r="B52" s="37" t="str">
        <f>HYPERLINK("\\intranet-fs4\市）地域振興部\14市民自治推進室\06  市民活動\◎助成・積立・取崩（基金）\00：起案：団体登録\団体情報一覧\団体概要書（更新ごと最新に）pdf\321_prof.pdf","特定非営利活動法人　札幌歩こう会")</f>
        <v>特定非営利活動法人　札幌歩こう会</v>
      </c>
      <c r="C52" s="32" t="s">
        <v>328</v>
      </c>
      <c r="D52" s="32" t="s">
        <v>115</v>
      </c>
      <c r="E52" s="33" t="str">
        <f>HYPERLINK("http://swa.or.jp","http://swa.or.jp")</f>
        <v>http://swa.or.jp</v>
      </c>
      <c r="F52" s="34" t="s">
        <v>329</v>
      </c>
      <c r="G52" s="34" t="s">
        <v>329</v>
      </c>
      <c r="H52" s="32" t="s">
        <v>330</v>
      </c>
      <c r="I52" s="32" t="s">
        <v>331</v>
      </c>
      <c r="J52" s="32" t="s">
        <v>332</v>
      </c>
      <c r="K52" s="35" t="s">
        <v>37</v>
      </c>
      <c r="L52" s="35"/>
      <c r="M52" s="35" t="s">
        <v>37</v>
      </c>
      <c r="N52" s="35" t="s">
        <v>37</v>
      </c>
      <c r="O52" s="35" t="s">
        <v>37</v>
      </c>
      <c r="P52" s="35" t="s">
        <v>37</v>
      </c>
      <c r="Q52" s="35" t="s">
        <v>37</v>
      </c>
      <c r="R52" s="35"/>
      <c r="S52" s="35"/>
      <c r="T52" s="35" t="s">
        <v>37</v>
      </c>
      <c r="U52" s="35"/>
      <c r="V52" s="35" t="s">
        <v>37</v>
      </c>
      <c r="W52" s="35" t="s">
        <v>37</v>
      </c>
      <c r="X52" s="35"/>
      <c r="Y52" s="35"/>
      <c r="Z52" s="35" t="s">
        <v>37</v>
      </c>
      <c r="AA52" s="35"/>
      <c r="AB52" s="35"/>
      <c r="AC52" s="35" t="s">
        <v>37</v>
      </c>
    </row>
    <row r="53" spans="1:29" ht="216">
      <c r="A53" s="36">
        <v>323</v>
      </c>
      <c r="B53" s="37" t="str">
        <f>HYPERLINK("\\intranet-fs4\市）地域振興部\14市民自治推進室\06  市民活動\◎助成・積立・取崩（基金）\00：起案：団体登録\団体情報一覧\団体概要書（更新ごと最新に）pdf\323_prof.pdf","特定非営利活動法人　難病支援ネット・ジャパン")</f>
        <v>特定非営利活動法人　難病支援ネット・ジャパン</v>
      </c>
      <c r="C53" s="32" t="s">
        <v>333</v>
      </c>
      <c r="D53" s="32" t="s">
        <v>334</v>
      </c>
      <c r="E53" s="38" t="str">
        <f>HYPERLINK("http://nanbyo-shien-h.net/","http://nanbyo-shien-h.net/")</f>
        <v>http://nanbyo-shien-h.net/</v>
      </c>
      <c r="F53" s="34" t="s">
        <v>335</v>
      </c>
      <c r="G53" s="34" t="s">
        <v>336</v>
      </c>
      <c r="H53" s="32" t="s">
        <v>337</v>
      </c>
      <c r="I53" s="32" t="s">
        <v>338</v>
      </c>
      <c r="J53" s="32" t="s">
        <v>339</v>
      </c>
      <c r="K53" s="35" t="s">
        <v>37</v>
      </c>
      <c r="L53" s="35"/>
      <c r="M53" s="35"/>
      <c r="N53" s="35"/>
      <c r="O53" s="35"/>
      <c r="P53" s="35"/>
      <c r="Q53" s="35"/>
      <c r="R53" s="35"/>
      <c r="S53" s="35"/>
      <c r="T53" s="35"/>
      <c r="U53" s="35"/>
      <c r="V53" s="35"/>
      <c r="W53" s="35"/>
      <c r="X53" s="35"/>
      <c r="Y53" s="35"/>
      <c r="Z53" s="35"/>
      <c r="AA53" s="35"/>
      <c r="AB53" s="35"/>
      <c r="AC53" s="35" t="s">
        <v>37</v>
      </c>
    </row>
    <row r="54" spans="1:29" ht="216">
      <c r="A54" s="36">
        <v>324</v>
      </c>
      <c r="B54" s="37" t="str">
        <f>HYPERLINK("\\intranet-fs4\市）地域振興部\14市民自治推進室\06  市民活動\◎助成・積立・取崩（基金）\00：起案：団体登録\団体情報一覧\団体概要書（更新ごと最新に）pdf\324_prof.pdf","特定非営利活動法人　さっぽろ時計台の会")</f>
        <v>特定非営利活動法人　さっぽろ時計台の会</v>
      </c>
      <c r="C54" s="32" t="s">
        <v>340</v>
      </c>
      <c r="D54" s="32" t="s">
        <v>341</v>
      </c>
      <c r="E54" s="38" t="str">
        <f>HYPERLINK("http://www8.ocn.ne.jp/~npoclock/","http://www8.ocn.ne.jp/~npoclock/")</f>
        <v>http://www8.ocn.ne.jp/~npoclock/</v>
      </c>
      <c r="F54" s="34" t="s">
        <v>94</v>
      </c>
      <c r="G54" s="34" t="s">
        <v>342</v>
      </c>
      <c r="H54" s="32" t="s">
        <v>343</v>
      </c>
      <c r="I54" s="32" t="s">
        <v>344</v>
      </c>
      <c r="J54" s="32" t="s">
        <v>345</v>
      </c>
      <c r="K54" s="35"/>
      <c r="L54" s="35"/>
      <c r="M54" s="35"/>
      <c r="N54" s="35" t="s">
        <v>37</v>
      </c>
      <c r="O54" s="35"/>
      <c r="P54" s="35"/>
      <c r="Q54" s="35" t="s">
        <v>37</v>
      </c>
      <c r="R54" s="35"/>
      <c r="S54" s="35"/>
      <c r="T54" s="35"/>
      <c r="U54" s="35"/>
      <c r="V54" s="35"/>
      <c r="W54" s="35"/>
      <c r="X54" s="35"/>
      <c r="Y54" s="35"/>
      <c r="Z54" s="35"/>
      <c r="AA54" s="35"/>
      <c r="AB54" s="35"/>
      <c r="AC54" s="35"/>
    </row>
    <row r="55" spans="1:29" ht="175.5">
      <c r="A55" s="36">
        <v>326</v>
      </c>
      <c r="B55" s="37" t="str">
        <f>HYPERLINK("\\intranet-fs4\市）地域振興部\14市民自治推進室\06  市民活動\◎助成・積立・取崩（基金）\00：起案：団体登録\団体情報一覧\団体概要書（更新ごと最新に）pdf\326_prof.pdf","白石区ふるさと会歴史文化委員会")</f>
        <v>白石区ふるさと会歴史文化委員会</v>
      </c>
      <c r="C55" s="32" t="s">
        <v>346</v>
      </c>
      <c r="D55" s="32" t="s">
        <v>347</v>
      </c>
      <c r="E55" s="33" t="str">
        <f>HYPERLINK("","")</f>
        <v/>
      </c>
      <c r="F55" s="34" t="s">
        <v>348</v>
      </c>
      <c r="G55" s="34" t="s">
        <v>349</v>
      </c>
      <c r="H55" s="32" t="s">
        <v>350</v>
      </c>
      <c r="I55" s="32" t="s">
        <v>351</v>
      </c>
      <c r="J55" s="32" t="s">
        <v>352</v>
      </c>
      <c r="K55" s="35"/>
      <c r="L55" s="35" t="s">
        <v>37</v>
      </c>
      <c r="M55" s="35" t="s">
        <v>37</v>
      </c>
      <c r="N55" s="35"/>
      <c r="O55" s="35"/>
      <c r="P55" s="35" t="s">
        <v>37</v>
      </c>
      <c r="Q55" s="35"/>
      <c r="R55" s="35"/>
      <c r="S55" s="35"/>
      <c r="T55" s="35"/>
      <c r="U55" s="35"/>
      <c r="V55" s="35"/>
      <c r="W55" s="35"/>
      <c r="X55" s="35"/>
      <c r="Y55" s="35"/>
      <c r="Z55" s="35"/>
      <c r="AA55" s="35"/>
      <c r="AB55" s="35"/>
      <c r="AC55" s="35"/>
    </row>
    <row r="56" spans="1:29" ht="135">
      <c r="A56" s="36">
        <v>357</v>
      </c>
      <c r="B56" s="37" t="str">
        <f>HYPERLINK("\\intranet-fs4\市）地域振興部\14市民自治推進室\06  市民活動\◎助成・積立・取崩（基金）\00：起案：団体登録\団体情報一覧\団体概要書（更新ごと最新に）pdf\357_prof.pdf","特定非営利活動法人　CAN")</f>
        <v>特定非営利活動法人　CAN</v>
      </c>
      <c r="C56" s="32" t="s">
        <v>353</v>
      </c>
      <c r="D56" s="32" t="s">
        <v>354</v>
      </c>
      <c r="E56" s="33" t="str">
        <f>HYPERLINK("http://npocan.jp/","http://npocan.jp/")</f>
        <v>http://npocan.jp/</v>
      </c>
      <c r="F56" s="34" t="s">
        <v>355</v>
      </c>
      <c r="G56" s="34" t="s">
        <v>355</v>
      </c>
      <c r="H56" s="32" t="s">
        <v>356</v>
      </c>
      <c r="I56" s="32" t="s">
        <v>357</v>
      </c>
      <c r="J56" s="32" t="s">
        <v>358</v>
      </c>
      <c r="K56" s="35"/>
      <c r="L56" s="35" t="s">
        <v>37</v>
      </c>
      <c r="M56" s="35" t="s">
        <v>37</v>
      </c>
      <c r="N56" s="35"/>
      <c r="O56" s="35"/>
      <c r="P56" s="35"/>
      <c r="Q56" s="35"/>
      <c r="R56" s="35"/>
      <c r="S56" s="35"/>
      <c r="T56" s="35"/>
      <c r="U56" s="35"/>
      <c r="V56" s="35"/>
      <c r="W56" s="35" t="s">
        <v>37</v>
      </c>
      <c r="X56" s="35"/>
      <c r="Y56" s="35"/>
      <c r="Z56" s="35"/>
      <c r="AA56" s="35"/>
      <c r="AB56" s="35"/>
      <c r="AC56" s="35" t="s">
        <v>37</v>
      </c>
    </row>
    <row r="57" spans="1:29" ht="54">
      <c r="A57" s="36">
        <v>362</v>
      </c>
      <c r="B57" s="37" t="str">
        <f>HYPERLINK("\\intranet-fs4\市）地域振興部\14市民自治推進室\06  市民活動\◎助成・積立・取崩（基金）\00：起案：団体登録\団体情報一覧\団体概要書（更新ごと最新に）pdf\362_prof.pdf","ときわ里山倶楽部")</f>
        <v>ときわ里山倶楽部</v>
      </c>
      <c r="C57" s="32" t="s">
        <v>359</v>
      </c>
      <c r="D57" s="32" t="s">
        <v>360</v>
      </c>
      <c r="E57" s="33" t="str">
        <f>HYPERLINK("http://www015.upp.so-net.ne.jp/tokiwa-satoyama/index.html","http://www015.upp.so-net.ne.jp/tokiwa-satoyama/index.html")</f>
        <v>http://www015.upp.so-net.ne.jp/tokiwa-satoyama/index.html</v>
      </c>
      <c r="F57" s="34" t="s">
        <v>361</v>
      </c>
      <c r="G57" s="34" t="s">
        <v>361</v>
      </c>
      <c r="H57" s="32" t="s">
        <v>362</v>
      </c>
      <c r="I57" s="32" t="s">
        <v>363</v>
      </c>
      <c r="J57" s="32" t="s">
        <v>364</v>
      </c>
      <c r="K57" s="35"/>
      <c r="L57" s="35"/>
      <c r="M57" s="35"/>
      <c r="N57" s="35"/>
      <c r="O57" s="35"/>
      <c r="P57" s="35"/>
      <c r="Q57" s="35" t="s">
        <v>37</v>
      </c>
      <c r="R57" s="35"/>
      <c r="S57" s="35"/>
      <c r="T57" s="35"/>
      <c r="U57" s="35"/>
      <c r="V57" s="35"/>
      <c r="W57" s="35" t="s">
        <v>37</v>
      </c>
      <c r="X57" s="35"/>
      <c r="Y57" s="35"/>
      <c r="Z57" s="35"/>
      <c r="AA57" s="35"/>
      <c r="AB57" s="35"/>
      <c r="AC57" s="35"/>
    </row>
    <row r="58" spans="1:29" ht="94.5">
      <c r="A58" s="36">
        <v>372</v>
      </c>
      <c r="B58" s="37" t="str">
        <f>HYPERLINK("\\intranet-fs4\市）地域振興部\14市民自治推進室\06  市民活動\◎助成・積立・取崩（基金）\00：起案：団体登録\団体情報一覧\団体概要書（更新ごと最新に）pdf\372_prof.pdf","NALC（ナルク）札幌")</f>
        <v>NALC（ナルク）札幌</v>
      </c>
      <c r="C58" s="32" t="s">
        <v>365</v>
      </c>
      <c r="D58" s="32" t="s">
        <v>79</v>
      </c>
      <c r="E58" s="33" t="str">
        <f>HYPERLINK("http://www.ss-sakuranbo.org/","http://www.ss-sakuranbo.org/")</f>
        <v>http://www.ss-sakuranbo.org/</v>
      </c>
      <c r="F58" s="34" t="s">
        <v>366</v>
      </c>
      <c r="G58" s="34" t="s">
        <v>366</v>
      </c>
      <c r="H58" s="32" t="s">
        <v>367</v>
      </c>
      <c r="I58" s="32" t="s">
        <v>368</v>
      </c>
      <c r="J58" s="32" t="s">
        <v>369</v>
      </c>
      <c r="K58" s="35" t="s">
        <v>37</v>
      </c>
      <c r="L58" s="35"/>
      <c r="M58" s="35" t="s">
        <v>37</v>
      </c>
      <c r="N58" s="35"/>
      <c r="O58" s="35"/>
      <c r="P58" s="35"/>
      <c r="Q58" s="35" t="s">
        <v>37</v>
      </c>
      <c r="R58" s="35" t="s">
        <v>37</v>
      </c>
      <c r="S58" s="35"/>
      <c r="T58" s="35"/>
      <c r="U58" s="35"/>
      <c r="V58" s="35"/>
      <c r="W58" s="35" t="s">
        <v>37</v>
      </c>
      <c r="X58" s="35"/>
      <c r="Y58" s="35"/>
      <c r="Z58" s="35"/>
      <c r="AA58" s="35"/>
      <c r="AB58" s="35"/>
      <c r="AC58" s="35" t="s">
        <v>37</v>
      </c>
    </row>
    <row r="59" spans="1:29" ht="81">
      <c r="A59" s="36">
        <v>383</v>
      </c>
      <c r="B59" s="37" t="str">
        <f>HYPERLINK("\\intranet-fs4\市）地域振興部\14市民自治推進室\06  市民活動\◎助成・積立・取崩（基金）\00：起案：団体登録\団体情報一覧\団体概要書（更新ごと最新に）pdf\383_prof.pdf","特定非営利活動法人札幌オールカマースポーツ倶楽部")</f>
        <v>特定非営利活動法人札幌オールカマースポーツ倶楽部</v>
      </c>
      <c r="C59" s="32" t="s">
        <v>370</v>
      </c>
      <c r="D59" s="32" t="s">
        <v>371</v>
      </c>
      <c r="E59" s="33" t="str">
        <f>HYPERLINK("http://www.as-ic.co.jp/sasc/index.html","http://www.as-ic.co.jp/sasc/index.html")</f>
        <v>http://www.as-ic.co.jp/sasc/index.html</v>
      </c>
      <c r="F59" s="34" t="s">
        <v>294</v>
      </c>
      <c r="G59" s="34" t="s">
        <v>312</v>
      </c>
      <c r="H59" s="32" t="s">
        <v>372</v>
      </c>
      <c r="I59" s="32" t="s">
        <v>373</v>
      </c>
      <c r="J59" s="32" t="s">
        <v>374</v>
      </c>
      <c r="K59" s="35" t="s">
        <v>37</v>
      </c>
      <c r="L59" s="35"/>
      <c r="M59" s="35" t="s">
        <v>37</v>
      </c>
      <c r="N59" s="35"/>
      <c r="O59" s="35"/>
      <c r="P59" s="35" t="s">
        <v>37</v>
      </c>
      <c r="Q59" s="35"/>
      <c r="R59" s="35"/>
      <c r="S59" s="35"/>
      <c r="T59" s="35"/>
      <c r="U59" s="35"/>
      <c r="V59" s="35"/>
      <c r="W59" s="35" t="s">
        <v>37</v>
      </c>
      <c r="X59" s="35"/>
      <c r="Y59" s="35"/>
      <c r="Z59" s="35"/>
      <c r="AA59" s="35"/>
      <c r="AB59" s="35"/>
      <c r="AC59" s="35"/>
    </row>
    <row r="60" spans="1:29" ht="162">
      <c r="A60" s="36">
        <v>392</v>
      </c>
      <c r="B60" s="37" t="str">
        <f>HYPERLINK("\\intranet-fs4\市）地域振興部\14市民自治推進室\06  市民活動\◎助成・積立・取崩（基金）\00：起案：団体登録\団体情報一覧\団体概要書（更新ごと最新に）pdf\392_prof.pdf","森の時間　SNOW　HOKKAIDO　日本風呂敷文化～包～")</f>
        <v>森の時間　SNOW　HOKKAIDO　日本風呂敷文化～包～</v>
      </c>
      <c r="C60" s="32" t="s">
        <v>375</v>
      </c>
      <c r="D60" s="32" t="s">
        <v>376</v>
      </c>
      <c r="E60" s="33" t="str">
        <f>HYPERLINK("http://morinojikan.webcrow.jp/","http://morinojikan.webcrow.jp/")</f>
        <v>http://morinojikan.webcrow.jp/</v>
      </c>
      <c r="F60" s="34" t="s">
        <v>377</v>
      </c>
      <c r="G60" s="34" t="s">
        <v>377</v>
      </c>
      <c r="H60" s="32" t="s">
        <v>378</v>
      </c>
      <c r="I60" s="32" t="s">
        <v>379</v>
      </c>
      <c r="J60" s="32" t="s">
        <v>380</v>
      </c>
      <c r="K60" s="35" t="s">
        <v>37</v>
      </c>
      <c r="L60" s="35"/>
      <c r="M60" s="35" t="s">
        <v>37</v>
      </c>
      <c r="N60" s="35" t="s">
        <v>37</v>
      </c>
      <c r="O60" s="35"/>
      <c r="P60" s="35" t="s">
        <v>37</v>
      </c>
      <c r="Q60" s="35"/>
      <c r="R60" s="35"/>
      <c r="S60" s="35"/>
      <c r="T60" s="35"/>
      <c r="U60" s="35" t="s">
        <v>37</v>
      </c>
      <c r="V60" s="35"/>
      <c r="W60" s="35" t="s">
        <v>37</v>
      </c>
      <c r="X60" s="35"/>
      <c r="Y60" s="35"/>
      <c r="Z60" s="35"/>
      <c r="AA60" s="35"/>
      <c r="AB60" s="35"/>
      <c r="AC60" s="35"/>
    </row>
    <row r="61" spans="1:29" ht="94.5">
      <c r="A61" s="36">
        <v>404</v>
      </c>
      <c r="B61" s="37" t="str">
        <f>HYPERLINK("\\intranet-fs4\市）地域振興部\14市民自治推進室\06  市民活動\◎助成・積立・取崩（基金）\00：起案：団体登録\団体情報一覧\団体概要書（更新ごと最新に）pdf\404_prof.pdf","ミライサイクルさっぽろ実行委員会")</f>
        <v>ミライサイクルさっぽろ実行委員会</v>
      </c>
      <c r="C61" s="32" t="s">
        <v>381</v>
      </c>
      <c r="D61" s="32" t="s">
        <v>382</v>
      </c>
      <c r="E61" s="33" t="str">
        <f>HYPERLINK("http://www.ezorock.org/","http://www.ezorock.org/")</f>
        <v>http://www.ezorock.org/</v>
      </c>
      <c r="F61" s="34" t="s">
        <v>383</v>
      </c>
      <c r="G61" s="34" t="s">
        <v>384</v>
      </c>
      <c r="H61" s="32" t="s">
        <v>385</v>
      </c>
      <c r="I61" s="32" t="s">
        <v>386</v>
      </c>
      <c r="J61" s="32" t="s">
        <v>387</v>
      </c>
      <c r="K61" s="35"/>
      <c r="L61" s="35" t="s">
        <v>37</v>
      </c>
      <c r="M61" s="35" t="s">
        <v>37</v>
      </c>
      <c r="N61" s="35"/>
      <c r="O61" s="35"/>
      <c r="P61" s="35" t="s">
        <v>37</v>
      </c>
      <c r="Q61" s="35" t="s">
        <v>37</v>
      </c>
      <c r="R61" s="35"/>
      <c r="S61" s="35" t="s">
        <v>37</v>
      </c>
      <c r="T61" s="35"/>
      <c r="U61" s="35"/>
      <c r="V61" s="35"/>
      <c r="W61" s="35"/>
      <c r="X61" s="35"/>
      <c r="Y61" s="35"/>
      <c r="Z61" s="35"/>
      <c r="AA61" s="35"/>
      <c r="AB61" s="35"/>
      <c r="AC61" s="35"/>
    </row>
    <row r="62" spans="1:29" ht="67.5">
      <c r="A62" s="36">
        <v>407</v>
      </c>
      <c r="B62" s="37" t="str">
        <f>HYPERLINK("\\intranet-fs4\市）地域振興部\14市民自治推進室\06  市民活動\◎助成・積立・取崩（基金）\00：起案：団体登録\団体情報一覧\団体概要書（更新ごと最新に）pdf\407_prof.pdf","清田演劇のつどい")</f>
        <v>清田演劇のつどい</v>
      </c>
      <c r="C62" s="32" t="s">
        <v>388</v>
      </c>
      <c r="D62" s="32" t="s">
        <v>389</v>
      </c>
      <c r="E62" s="33" t="str">
        <f>HYPERLINK("","")</f>
        <v/>
      </c>
      <c r="F62" s="34" t="s">
        <v>390</v>
      </c>
      <c r="G62" s="34" t="s">
        <v>391</v>
      </c>
      <c r="H62" s="32" t="s">
        <v>392</v>
      </c>
      <c r="I62" s="32" t="s">
        <v>393</v>
      </c>
      <c r="J62" s="32" t="s">
        <v>394</v>
      </c>
      <c r="K62" s="35"/>
      <c r="L62" s="35"/>
      <c r="M62" s="35" t="s">
        <v>37</v>
      </c>
      <c r="N62" s="35"/>
      <c r="O62" s="35"/>
      <c r="P62" s="35" t="s">
        <v>37</v>
      </c>
      <c r="Q62" s="35"/>
      <c r="R62" s="35"/>
      <c r="S62" s="35"/>
      <c r="T62" s="35"/>
      <c r="U62" s="35"/>
      <c r="V62" s="35"/>
      <c r="W62" s="35"/>
      <c r="X62" s="35"/>
      <c r="Y62" s="35"/>
      <c r="Z62" s="35"/>
      <c r="AA62" s="35"/>
      <c r="AB62" s="35"/>
      <c r="AC62" s="35"/>
    </row>
    <row r="63" spans="1:29" ht="148.5">
      <c r="A63" s="42">
        <v>411</v>
      </c>
      <c r="B63" s="37" t="str">
        <f>HYPERLINK("\\intranet-fs4\市）地域振興部\14市民自治推進室\06  市民活動\◎助成・積立・取崩（基金）\00：起案：団体登録\団体情報一覧\団体概要書（更新ごと最新に）pdf\411_prof.pdf","特定非営利活動法人　カルチャーナイト北海道")</f>
        <v>特定非営利活動法人　カルチャーナイト北海道</v>
      </c>
      <c r="C63" s="32" t="s">
        <v>395</v>
      </c>
      <c r="D63" s="32" t="s">
        <v>39</v>
      </c>
      <c r="E63" s="33" t="str">
        <f>HYPERLINK("http://www.culture-night.com/","http://www.culture-night.com/")</f>
        <v>http://www.culture-night.com/</v>
      </c>
      <c r="F63" s="34" t="s">
        <v>396</v>
      </c>
      <c r="G63" s="34" t="s">
        <v>397</v>
      </c>
      <c r="H63" s="32" t="s">
        <v>398</v>
      </c>
      <c r="I63" s="32" t="s">
        <v>399</v>
      </c>
      <c r="J63" s="32" t="s">
        <v>400</v>
      </c>
      <c r="K63" s="35"/>
      <c r="L63" s="35"/>
      <c r="M63" s="35" t="s">
        <v>37</v>
      </c>
      <c r="N63" s="35" t="s">
        <v>37</v>
      </c>
      <c r="O63" s="35"/>
      <c r="P63" s="35" t="s">
        <v>37</v>
      </c>
      <c r="Q63" s="35"/>
      <c r="R63" s="35"/>
      <c r="S63" s="35"/>
      <c r="T63" s="35"/>
      <c r="U63" s="35"/>
      <c r="V63" s="35"/>
      <c r="W63" s="35" t="s">
        <v>37</v>
      </c>
      <c r="X63" s="35"/>
      <c r="Y63" s="35"/>
      <c r="Z63" s="35"/>
      <c r="AA63" s="35"/>
      <c r="AB63" s="35"/>
      <c r="AC63" s="35"/>
    </row>
    <row r="64" spans="1:29" ht="81">
      <c r="A64" s="36">
        <v>416</v>
      </c>
      <c r="B64" s="37" t="str">
        <f>HYPERLINK("\\intranet-fs4\市）地域振興部\14市民自治推進室\06  市民活動\◎助成・積立・取崩（基金）\00：起案：団体登録\団体情報一覧\団体概要書（更新ごと最新に）pdf\416_prof.pdf","さっぽろアートビーンズ")</f>
        <v>さっぽろアートビーンズ</v>
      </c>
      <c r="C64" s="32" t="s">
        <v>401</v>
      </c>
      <c r="D64" s="32" t="s">
        <v>79</v>
      </c>
      <c r="E64" s="33" t="str">
        <f>HYPERLINK("http://artbeans.shin-gen.jp/","http://artbeans.shin-gen.jp/")</f>
        <v>http://artbeans.shin-gen.jp/</v>
      </c>
      <c r="F64" s="34" t="s">
        <v>402</v>
      </c>
      <c r="G64" s="34" t="s">
        <v>402</v>
      </c>
      <c r="H64" s="32" t="s">
        <v>403</v>
      </c>
      <c r="I64" s="32" t="s">
        <v>404</v>
      </c>
      <c r="J64" s="32" t="s">
        <v>405</v>
      </c>
      <c r="K64" s="35"/>
      <c r="L64" s="35" t="s">
        <v>37</v>
      </c>
      <c r="M64" s="35" t="s">
        <v>37</v>
      </c>
      <c r="N64" s="35" t="s">
        <v>37</v>
      </c>
      <c r="O64" s="35"/>
      <c r="P64" s="35" t="s">
        <v>37</v>
      </c>
      <c r="Q64" s="35"/>
      <c r="R64" s="35"/>
      <c r="S64" s="35"/>
      <c r="T64" s="35"/>
      <c r="U64" s="35"/>
      <c r="V64" s="35"/>
      <c r="W64" s="35" t="s">
        <v>37</v>
      </c>
      <c r="X64" s="35" t="s">
        <v>37</v>
      </c>
      <c r="Y64" s="35"/>
      <c r="Z64" s="35" t="s">
        <v>37</v>
      </c>
      <c r="AA64" s="35"/>
      <c r="AB64" s="35"/>
      <c r="AC64" s="35"/>
    </row>
    <row r="65" spans="1:29" ht="216">
      <c r="A65" s="36">
        <v>419</v>
      </c>
      <c r="B65" s="37" t="str">
        <f>HYPERLINK("\\intranet-fs4\市）地域振興部\14市民自治推進室\06  市民活動\◎助成・積立・取崩（基金）\00：起案：団体登録\団体情報一覧\団体概要書（更新ごと最新に）pdf\419_prof.pdf","特定非営利活動法人　レター・ポスト・フレンド相談ネットワーク")</f>
        <v>特定非営利活動法人　レター・ポスト・フレンド相談ネットワーク</v>
      </c>
      <c r="C65" s="32" t="s">
        <v>406</v>
      </c>
      <c r="D65" s="32" t="s">
        <v>79</v>
      </c>
      <c r="E65" s="38" t="str">
        <f>HYPERLINK("https://letter-post.com/","https://letter-post.com/")</f>
        <v>https://letter-post.com/</v>
      </c>
      <c r="F65" s="34" t="s">
        <v>407</v>
      </c>
      <c r="G65" s="34" t="s">
        <v>408</v>
      </c>
      <c r="H65" s="32" t="s">
        <v>409</v>
      </c>
      <c r="I65" s="32" t="s">
        <v>410</v>
      </c>
      <c r="J65" s="32" t="s">
        <v>411</v>
      </c>
      <c r="K65" s="35" t="s">
        <v>37</v>
      </c>
      <c r="L65" s="35"/>
      <c r="M65" s="35" t="s">
        <v>37</v>
      </c>
      <c r="N65" s="35"/>
      <c r="O65" s="35"/>
      <c r="P65" s="35"/>
      <c r="Q65" s="35"/>
      <c r="R65" s="35"/>
      <c r="S65" s="35"/>
      <c r="T65" s="35"/>
      <c r="U65" s="35"/>
      <c r="V65" s="35"/>
      <c r="W65" s="35" t="s">
        <v>37</v>
      </c>
      <c r="X65" s="35"/>
      <c r="Y65" s="35"/>
      <c r="Z65" s="35"/>
      <c r="AA65" s="35" t="s">
        <v>37</v>
      </c>
      <c r="AB65" s="35"/>
      <c r="AC65" s="35"/>
    </row>
    <row r="66" spans="1:29" ht="256.5">
      <c r="A66" s="36">
        <v>424</v>
      </c>
      <c r="B66" s="37" t="str">
        <f>HYPERLINK("\\intranet-fs4\市）地域振興部\14市民自治推進室\06  市民活動\◎助成・積立・取崩（基金）\00：起案：団体登録\団体情報一覧\団体概要書（更新ごと最新に）pdf\424_prof.pdf","東月寒地区町内会連合会")</f>
        <v>東月寒地区町内会連合会</v>
      </c>
      <c r="C66" s="32" t="s">
        <v>412</v>
      </c>
      <c r="D66" s="32" t="s">
        <v>166</v>
      </c>
      <c r="E66" s="33" t="str">
        <f>HYPERLINK("","")</f>
        <v/>
      </c>
      <c r="F66" s="34" t="s">
        <v>413</v>
      </c>
      <c r="G66" s="34" t="s">
        <v>413</v>
      </c>
      <c r="H66" s="32" t="s">
        <v>414</v>
      </c>
      <c r="I66" s="32" t="s">
        <v>415</v>
      </c>
      <c r="J66" s="32" t="s">
        <v>416</v>
      </c>
      <c r="K66" s="35" t="s">
        <v>37</v>
      </c>
      <c r="L66" s="35" t="s">
        <v>37</v>
      </c>
      <c r="M66" s="35" t="s">
        <v>37</v>
      </c>
      <c r="N66" s="35"/>
      <c r="O66" s="35"/>
      <c r="P66" s="35" t="s">
        <v>37</v>
      </c>
      <c r="Q66" s="35"/>
      <c r="R66" s="35"/>
      <c r="S66" s="35" t="s">
        <v>37</v>
      </c>
      <c r="T66" s="35" t="s">
        <v>37</v>
      </c>
      <c r="U66" s="35"/>
      <c r="V66" s="35" t="s">
        <v>37</v>
      </c>
      <c r="W66" s="35" t="s">
        <v>37</v>
      </c>
      <c r="X66" s="35"/>
      <c r="Y66" s="35"/>
      <c r="Z66" s="35"/>
      <c r="AA66" s="35"/>
      <c r="AB66" s="35" t="s">
        <v>37</v>
      </c>
      <c r="AC66" s="35"/>
    </row>
    <row r="67" spans="1:29" ht="135">
      <c r="A67" s="36">
        <v>427</v>
      </c>
      <c r="B67" s="37" t="str">
        <f>HYPERLINK("\\intranet-fs4\市）地域振興部\14市民自治推進室\06  市民活動\◎助成・積立・取崩（基金）\00：起案：団体登録\団体情報一覧\団体概要書（更新ごと最新に）pdf\427_prof.pdf","特定非営利活動法人　演劇鑑賞会北座")</f>
        <v>特定非営利活動法人　演劇鑑賞会北座</v>
      </c>
      <c r="C67" s="32" t="s">
        <v>417</v>
      </c>
      <c r="D67" s="32" t="s">
        <v>418</v>
      </c>
      <c r="E67" s="33" t="str">
        <f>HYPERLINK("http://homepage1.nifty.com/enkan/top.htm","http://homepage1.nifty.com/enkan/top.htm")</f>
        <v>http://homepage1.nifty.com/enkan/top.htm</v>
      </c>
      <c r="F67" s="34" t="s">
        <v>419</v>
      </c>
      <c r="G67" s="34" t="s">
        <v>420</v>
      </c>
      <c r="H67" s="32" t="s">
        <v>421</v>
      </c>
      <c r="I67" s="32" t="s">
        <v>422</v>
      </c>
      <c r="J67" s="32" t="s">
        <v>423</v>
      </c>
      <c r="K67" s="35"/>
      <c r="L67" s="35"/>
      <c r="M67" s="35"/>
      <c r="N67" s="35"/>
      <c r="O67" s="35"/>
      <c r="P67" s="35" t="s">
        <v>37</v>
      </c>
      <c r="Q67" s="35"/>
      <c r="R67" s="35"/>
      <c r="S67" s="35"/>
      <c r="T67" s="35"/>
      <c r="U67" s="35"/>
      <c r="V67" s="35"/>
      <c r="W67" s="35"/>
      <c r="X67" s="35"/>
      <c r="Y67" s="35"/>
      <c r="Z67" s="35"/>
      <c r="AA67" s="35"/>
      <c r="AB67" s="35"/>
      <c r="AC67" s="35"/>
    </row>
    <row r="68" spans="1:29" ht="270">
      <c r="A68" s="36">
        <v>429</v>
      </c>
      <c r="B68" s="37" t="str">
        <f>HYPERLINK("\\intranet-fs4\市）地域振興部\14市民自治推進室\06  市民活動\◎助成・積立・取崩（基金）\00：起案：団体登録\団体情報一覧\団体概要書（更新ごと最新に）pdf\429_prof.pdf","特定非営利活動法人　北のごみ総合研究所")</f>
        <v>特定非営利活動法人　北のごみ総合研究所</v>
      </c>
      <c r="C68" s="32" t="s">
        <v>424</v>
      </c>
      <c r="D68" s="32" t="s">
        <v>115</v>
      </c>
      <c r="E68" s="33" t="str">
        <f>HYPERLINK("http://kitagomis.jimdo.com/","http://kitagomis.jimdo.com/")</f>
        <v>http://kitagomis.jimdo.com/</v>
      </c>
      <c r="F68" s="34" t="s">
        <v>425</v>
      </c>
      <c r="G68" s="34" t="s">
        <v>425</v>
      </c>
      <c r="H68" s="32" t="s">
        <v>426</v>
      </c>
      <c r="I68" s="32" t="s">
        <v>427</v>
      </c>
      <c r="J68" s="32" t="s">
        <v>428</v>
      </c>
      <c r="K68" s="35"/>
      <c r="L68" s="35"/>
      <c r="M68" s="35" t="s">
        <v>37</v>
      </c>
      <c r="N68" s="35"/>
      <c r="O68" s="35"/>
      <c r="P68" s="35"/>
      <c r="Q68" s="35" t="s">
        <v>37</v>
      </c>
      <c r="R68" s="35"/>
      <c r="S68" s="35"/>
      <c r="T68" s="35"/>
      <c r="U68" s="35"/>
      <c r="V68" s="35"/>
      <c r="W68" s="35"/>
      <c r="X68" s="35"/>
      <c r="Y68" s="35"/>
      <c r="Z68" s="35"/>
      <c r="AA68" s="35"/>
      <c r="AB68" s="35"/>
      <c r="AC68" s="35"/>
    </row>
    <row r="69" spans="1:29" ht="108">
      <c r="A69" s="36">
        <v>435</v>
      </c>
      <c r="B69" s="37" t="str">
        <f>HYPERLINK("\\intranet-fs4\市）地域振興部\14市民自治推進室\06  市民活動\◎助成・積立・取崩（基金）\00：起案：団体登録\団体情報一覧\団体概要書（更新ごと最新に）pdf\435_prof.pdf","特定非営利活動法人　いきたす")</f>
        <v>特定非営利活動法人　いきたす</v>
      </c>
      <c r="C69" s="32" t="s">
        <v>429</v>
      </c>
      <c r="D69" s="32" t="s">
        <v>430</v>
      </c>
      <c r="E69" s="33" t="str">
        <f>HYPERLINK("http://www.ikitas.net/","http://www.ikitas.net/")</f>
        <v>http://www.ikitas.net/</v>
      </c>
      <c r="F69" s="34" t="s">
        <v>431</v>
      </c>
      <c r="G69" s="34" t="s">
        <v>432</v>
      </c>
      <c r="H69" s="32" t="s">
        <v>433</v>
      </c>
      <c r="I69" s="32" t="s">
        <v>434</v>
      </c>
      <c r="J69" s="32" t="s">
        <v>435</v>
      </c>
      <c r="K69" s="35"/>
      <c r="L69" s="35" t="s">
        <v>37</v>
      </c>
      <c r="M69" s="35" t="s">
        <v>37</v>
      </c>
      <c r="N69" s="35"/>
      <c r="O69" s="35"/>
      <c r="P69" s="35" t="s">
        <v>37</v>
      </c>
      <c r="Q69" s="35"/>
      <c r="R69" s="35"/>
      <c r="S69" s="35"/>
      <c r="T69" s="35"/>
      <c r="U69" s="35"/>
      <c r="V69" s="35"/>
      <c r="W69" s="35" t="s">
        <v>37</v>
      </c>
      <c r="X69" s="35" t="s">
        <v>37</v>
      </c>
      <c r="Y69" s="35" t="s">
        <v>37</v>
      </c>
      <c r="Z69" s="35" t="s">
        <v>37</v>
      </c>
      <c r="AA69" s="35" t="s">
        <v>37</v>
      </c>
      <c r="AB69" s="35"/>
      <c r="AC69" s="35" t="s">
        <v>37</v>
      </c>
    </row>
    <row r="70" spans="1:29" ht="108">
      <c r="A70" s="36">
        <v>436</v>
      </c>
      <c r="B70" s="37" t="str">
        <f>HYPERLINK("\\intranet-fs4\市）地域振興部\14市民自治推進室\06  市民活動\◎助成・積立・取崩（基金）\00：起案：団体登録\団体情報一覧\団体概要書（更新ごと最新に）pdf\436_prof.pdf","特定非営利活動法人　Kacotam")</f>
        <v>特定非営利活動法人　Kacotam</v>
      </c>
      <c r="C70" s="32" t="s">
        <v>436</v>
      </c>
      <c r="D70" s="32" t="s">
        <v>437</v>
      </c>
      <c r="E70" s="33" t="str">
        <f>HYPERLINK("http://www.kacotam.com/","http://www.kacotam.com/")</f>
        <v>http://www.kacotam.com/</v>
      </c>
      <c r="F70" s="34" t="s">
        <v>438</v>
      </c>
      <c r="G70" s="34" t="s">
        <v>439</v>
      </c>
      <c r="H70" s="32" t="s">
        <v>440</v>
      </c>
      <c r="I70" s="32" t="s">
        <v>441</v>
      </c>
      <c r="J70" s="32" t="s">
        <v>442</v>
      </c>
      <c r="K70" s="35"/>
      <c r="L70" s="35" t="s">
        <v>37</v>
      </c>
      <c r="M70" s="35" t="s">
        <v>37</v>
      </c>
      <c r="N70" s="35"/>
      <c r="O70" s="35"/>
      <c r="P70" s="35"/>
      <c r="Q70" s="35"/>
      <c r="R70" s="35"/>
      <c r="S70" s="35"/>
      <c r="T70" s="35"/>
      <c r="U70" s="35"/>
      <c r="V70" s="35"/>
      <c r="W70" s="35" t="s">
        <v>37</v>
      </c>
      <c r="X70" s="35"/>
      <c r="Y70" s="35"/>
      <c r="Z70" s="35"/>
      <c r="AA70" s="35"/>
      <c r="AB70" s="35"/>
      <c r="AC70" s="35"/>
    </row>
    <row r="71" spans="1:29" ht="94.5">
      <c r="A71" s="36">
        <v>445</v>
      </c>
      <c r="B71" s="37" t="str">
        <f>HYPERLINK("\\intranet-fs4\市）地域振興部\14市民自治推進室\06  市民活動\◎助成・積立・取崩（基金）\00：起案：団体登録\団体情報一覧\団体概要書（更新ごと最新に）pdf\445_prof.pdf","八軒音頭保存会")</f>
        <v>八軒音頭保存会</v>
      </c>
      <c r="C71" s="32" t="s">
        <v>443</v>
      </c>
      <c r="D71" s="32" t="s">
        <v>444</v>
      </c>
      <c r="E71" s="33" t="str">
        <f>HYPERLINK("","")</f>
        <v/>
      </c>
      <c r="F71" s="34" t="s">
        <v>132</v>
      </c>
      <c r="G71" s="34" t="s">
        <v>132</v>
      </c>
      <c r="H71" s="32" t="s">
        <v>445</v>
      </c>
      <c r="I71" s="32" t="s">
        <v>446</v>
      </c>
      <c r="J71" s="32" t="s">
        <v>447</v>
      </c>
      <c r="K71" s="35"/>
      <c r="L71" s="35"/>
      <c r="M71" s="35"/>
      <c r="N71" s="35"/>
      <c r="O71" s="35"/>
      <c r="P71" s="35" t="s">
        <v>37</v>
      </c>
      <c r="Q71" s="35"/>
      <c r="R71" s="35"/>
      <c r="S71" s="35"/>
      <c r="T71" s="35"/>
      <c r="U71" s="35"/>
      <c r="V71" s="35"/>
      <c r="W71" s="35"/>
      <c r="X71" s="35"/>
      <c r="Y71" s="35"/>
      <c r="Z71" s="35"/>
      <c r="AA71" s="35"/>
      <c r="AB71" s="35"/>
      <c r="AC71" s="35"/>
    </row>
    <row r="72" spans="1:29" ht="175.5">
      <c r="A72" s="36">
        <v>456</v>
      </c>
      <c r="B72" s="37" t="str">
        <f>HYPERLINK("\\intranet-fs4\市）地域振興部\14市民自治推進室\06  市民活動\◎助成・積立・取崩（基金）\00：起案：団体登録\団体情報一覧\団体概要書（更新ごと最新に）pdf\456_prof.pdf","特定非営利活動法人　北海道若年認知症の人と家族の会")</f>
        <v>特定非営利活動法人　北海道若年認知症の人と家族の会</v>
      </c>
      <c r="C72" s="32" t="s">
        <v>448</v>
      </c>
      <c r="D72" s="32" t="s">
        <v>79</v>
      </c>
      <c r="E72" s="33" t="str">
        <f>HYPERLINK("http://h-himawari.sakura.ne.jp/","http://h-himawari.sakura.ne.jp/")</f>
        <v>http://h-himawari.sakura.ne.jp/</v>
      </c>
      <c r="F72" s="34" t="s">
        <v>449</v>
      </c>
      <c r="G72" s="34" t="s">
        <v>449</v>
      </c>
      <c r="H72" s="32" t="s">
        <v>450</v>
      </c>
      <c r="I72" s="32" t="s">
        <v>451</v>
      </c>
      <c r="J72" s="32" t="s">
        <v>452</v>
      </c>
      <c r="K72" s="35" t="s">
        <v>37</v>
      </c>
      <c r="L72" s="35" t="s">
        <v>37</v>
      </c>
      <c r="M72" s="35"/>
      <c r="N72" s="35"/>
      <c r="O72" s="35"/>
      <c r="P72" s="35"/>
      <c r="Q72" s="35"/>
      <c r="R72" s="35"/>
      <c r="S72" s="35"/>
      <c r="T72" s="35" t="s">
        <v>37</v>
      </c>
      <c r="U72" s="35"/>
      <c r="V72" s="35"/>
      <c r="W72" s="35"/>
      <c r="X72" s="35"/>
      <c r="Y72" s="35"/>
      <c r="Z72" s="35"/>
      <c r="AA72" s="35" t="s">
        <v>37</v>
      </c>
      <c r="AB72" s="35"/>
      <c r="AC72" s="35" t="s">
        <v>37</v>
      </c>
    </row>
    <row r="73" spans="1:29" ht="108">
      <c r="A73" s="36">
        <v>461</v>
      </c>
      <c r="B73" s="37" t="str">
        <f>HYPERLINK("\\intranet-fs4\市）地域振興部\14市民自治推進室\06  市民活動\◎助成・積立・取崩（基金）\00：起案：団体登録\団体情報一覧\団体概要書（更新ごと最新に）pdf\461_prof.pdf","非営利型一般社団法人ねこたまご")</f>
        <v>非営利型一般社団法人ねこたまご</v>
      </c>
      <c r="C73" s="32" t="s">
        <v>453</v>
      </c>
      <c r="D73" s="32" t="s">
        <v>454</v>
      </c>
      <c r="E73" s="33" t="str">
        <f>HYPERLINK("http://nekotamago.jimdo.com","http://nekotamago.jimdo.com")</f>
        <v>http://nekotamago.jimdo.com</v>
      </c>
      <c r="F73" s="34" t="s">
        <v>432</v>
      </c>
      <c r="G73" s="34" t="s">
        <v>348</v>
      </c>
      <c r="H73" s="32" t="s">
        <v>455</v>
      </c>
      <c r="I73" s="32" t="s">
        <v>456</v>
      </c>
      <c r="J73" s="32" t="s">
        <v>457</v>
      </c>
      <c r="K73" s="35"/>
      <c r="L73" s="35" t="s">
        <v>37</v>
      </c>
      <c r="M73" s="35"/>
      <c r="N73" s="35"/>
      <c r="O73" s="35"/>
      <c r="P73" s="35"/>
      <c r="Q73" s="35"/>
      <c r="R73" s="35"/>
      <c r="S73" s="35"/>
      <c r="T73" s="35"/>
      <c r="U73" s="35"/>
      <c r="V73" s="35"/>
      <c r="W73" s="35" t="s">
        <v>37</v>
      </c>
      <c r="X73" s="35"/>
      <c r="Y73" s="35"/>
      <c r="Z73" s="35"/>
      <c r="AA73" s="35"/>
      <c r="AB73" s="35"/>
      <c r="AC73" s="35"/>
    </row>
    <row r="74" spans="1:29" ht="81">
      <c r="A74" s="36">
        <v>466</v>
      </c>
      <c r="B74" s="37" t="str">
        <f>HYPERLINK("\\intranet-fs4\市）地域振興部\14市民自治推進室\06  市民活動\◎助成・積立・取崩（基金）\00：起案：団体登録\団体情報一覧\団体概要書（更新ごと最新に）pdf\466_prof.pdf","特定非営利活動法人　猫と人を繋ぐツキネコ北海道")</f>
        <v>特定非営利活動法人　猫と人を繋ぐツキネコ北海道</v>
      </c>
      <c r="C74" s="32" t="s">
        <v>458</v>
      </c>
      <c r="D74" s="32" t="s">
        <v>459</v>
      </c>
      <c r="E74" s="38" t="str">
        <f>HYPERLINK("http://tsukineko.net/","http://tsukineko.net/")</f>
        <v>http://tsukineko.net/</v>
      </c>
      <c r="F74" s="34" t="s">
        <v>460</v>
      </c>
      <c r="G74" s="34" t="s">
        <v>449</v>
      </c>
      <c r="H74" s="32" t="s">
        <v>461</v>
      </c>
      <c r="I74" s="32" t="s">
        <v>462</v>
      </c>
      <c r="J74" s="32" t="s">
        <v>463</v>
      </c>
      <c r="K74" s="35"/>
      <c r="L74" s="35" t="s">
        <v>37</v>
      </c>
      <c r="M74" s="35" t="s">
        <v>37</v>
      </c>
      <c r="N74" s="35"/>
      <c r="O74" s="35"/>
      <c r="P74" s="35"/>
      <c r="Q74" s="35" t="s">
        <v>37</v>
      </c>
      <c r="R74" s="35"/>
      <c r="S74" s="35"/>
      <c r="T74" s="35"/>
      <c r="U74" s="35"/>
      <c r="V74" s="35"/>
      <c r="W74" s="35" t="s">
        <v>37</v>
      </c>
      <c r="X74" s="35"/>
      <c r="Y74" s="35"/>
      <c r="Z74" s="35" t="s">
        <v>37</v>
      </c>
      <c r="AA74" s="35" t="s">
        <v>37</v>
      </c>
      <c r="AB74" s="35"/>
      <c r="AC74" s="35"/>
    </row>
    <row r="75" spans="1:29" ht="162">
      <c r="A75" s="36">
        <v>472</v>
      </c>
      <c r="B75" s="37" t="str">
        <f>HYPERLINK("\\intranet-fs4\市）地域振興部\14市民自治推進室\06  市民活動\◎助成・積立・取崩（基金）\00：起案：団体登録\団体情報一覧\団体概要書（更新ごと最新に）pdf\472_prof.pdf","ガールスカウト北海道第１７団")</f>
        <v>ガールスカウト北海道第１７団</v>
      </c>
      <c r="C75" s="32" t="s">
        <v>464</v>
      </c>
      <c r="D75" s="32" t="s">
        <v>79</v>
      </c>
      <c r="E75" s="40" t="str">
        <f>HYPERLINK("http://gsh17.com/","http://gsh17.com/")</f>
        <v>http://gsh17.com/</v>
      </c>
      <c r="F75" s="34" t="s">
        <v>465</v>
      </c>
      <c r="G75" s="34" t="s">
        <v>465</v>
      </c>
      <c r="H75" s="32" t="s">
        <v>466</v>
      </c>
      <c r="I75" s="32" t="s">
        <v>467</v>
      </c>
      <c r="J75" s="32" t="s">
        <v>468</v>
      </c>
      <c r="K75" s="35"/>
      <c r="L75" s="35"/>
      <c r="M75" s="35"/>
      <c r="N75" s="35"/>
      <c r="O75" s="35"/>
      <c r="P75" s="35"/>
      <c r="Q75" s="35"/>
      <c r="R75" s="35"/>
      <c r="S75" s="35"/>
      <c r="T75" s="35"/>
      <c r="U75" s="35"/>
      <c r="V75" s="35"/>
      <c r="W75" s="35" t="s">
        <v>37</v>
      </c>
      <c r="X75" s="35"/>
      <c r="Y75" s="35"/>
      <c r="Z75" s="35"/>
      <c r="AA75" s="35"/>
      <c r="AB75" s="35"/>
      <c r="AC75" s="35"/>
    </row>
    <row r="76" spans="1:29" ht="189">
      <c r="A76" s="36">
        <v>474</v>
      </c>
      <c r="B76" s="37" t="str">
        <f>HYPERLINK("\\intranet-fs4\市）地域振興部\14市民自治推進室\06  市民活動\◎助成・積立・取崩（基金）\00：起案：団体登録\団体情報一覧\団体概要書（更新ごと最新に）pdf\474_prof.pdf","秋桜｢地域を花でかざろう会｣")</f>
        <v>秋桜｢地域を花でかざろう会｣</v>
      </c>
      <c r="C76" s="32" t="s">
        <v>469</v>
      </c>
      <c r="D76" s="32" t="s">
        <v>470</v>
      </c>
      <c r="E76" s="48"/>
      <c r="F76" s="34" t="s">
        <v>471</v>
      </c>
      <c r="G76" s="34" t="s">
        <v>137</v>
      </c>
      <c r="H76" s="32" t="s">
        <v>472</v>
      </c>
      <c r="I76" s="32" t="s">
        <v>473</v>
      </c>
      <c r="J76" s="32" t="s">
        <v>474</v>
      </c>
      <c r="K76" s="35"/>
      <c r="L76" s="35"/>
      <c r="M76" s="35" t="s">
        <v>37</v>
      </c>
      <c r="N76" s="35"/>
      <c r="O76" s="35"/>
      <c r="P76" s="35" t="s">
        <v>37</v>
      </c>
      <c r="Q76" s="35" t="s">
        <v>37</v>
      </c>
      <c r="R76" s="35"/>
      <c r="S76" s="35"/>
      <c r="T76" s="35"/>
      <c r="U76" s="35"/>
      <c r="V76" s="35"/>
      <c r="W76" s="35" t="s">
        <v>37</v>
      </c>
      <c r="X76" s="35"/>
      <c r="Y76" s="35"/>
      <c r="Z76" s="35"/>
      <c r="AA76" s="35"/>
      <c r="AB76" s="35"/>
      <c r="AC76" s="35"/>
    </row>
    <row r="77" spans="1:29" ht="40.5">
      <c r="A77" s="36">
        <v>491</v>
      </c>
      <c r="B77" s="37" t="str">
        <f>HYPERLINK("\\intranet-fs4\市）地域振興部\14市民自治推進室\06  市民活動\◎助成・積立・取崩（基金）\00：起案：団体登録\団体情報一覧\団体概要書（更新ごと最新に）pdf\491_prof.pdf","定山渓沿線町内会連絡協議会")</f>
        <v>定山渓沿線町内会連絡協議会</v>
      </c>
      <c r="C77" s="32" t="s">
        <v>475</v>
      </c>
      <c r="D77" s="32" t="s">
        <v>476</v>
      </c>
      <c r="E77" s="41"/>
      <c r="F77" s="34" t="s">
        <v>477</v>
      </c>
      <c r="G77" s="34" t="s">
        <v>477</v>
      </c>
      <c r="H77" s="32" t="s">
        <v>478</v>
      </c>
      <c r="I77" s="32" t="s">
        <v>479</v>
      </c>
      <c r="J77" s="32" t="s">
        <v>480</v>
      </c>
      <c r="K77" s="35"/>
      <c r="L77" s="35"/>
      <c r="M77" s="35" t="s">
        <v>37</v>
      </c>
      <c r="N77" s="35" t="s">
        <v>37</v>
      </c>
      <c r="O77" s="35" t="s">
        <v>37</v>
      </c>
      <c r="P77" s="35" t="s">
        <v>37</v>
      </c>
      <c r="Q77" s="35"/>
      <c r="R77" s="35"/>
      <c r="S77" s="35" t="s">
        <v>37</v>
      </c>
      <c r="T77" s="35"/>
      <c r="U77" s="35"/>
      <c r="V77" s="35"/>
      <c r="W77" s="35"/>
      <c r="X77" s="35"/>
      <c r="Y77" s="35"/>
      <c r="Z77" s="35" t="s">
        <v>37</v>
      </c>
      <c r="AA77" s="35"/>
      <c r="AB77" s="35"/>
      <c r="AC77" s="35" t="s">
        <v>37</v>
      </c>
    </row>
    <row r="78" spans="1:29" ht="108">
      <c r="A78" s="36">
        <v>492</v>
      </c>
      <c r="B78" s="37" t="str">
        <f>HYPERLINK("\\intranet-fs4\市）地域振興部\14市民自治推進室\06  市民活動\◎助成・積立・取崩（基金）\00：起案：団体登録\団体情報一覧\団体概要書（更新ごと最新に）pdf\492_prof.pdf","特定非営利活動法人　セカンドサポート")</f>
        <v>特定非営利活動法人　セカンドサポート</v>
      </c>
      <c r="C78" s="32" t="s">
        <v>481</v>
      </c>
      <c r="D78" s="32" t="s">
        <v>115</v>
      </c>
      <c r="E78" s="33" t="str">
        <f>HYPERLINK("http://second-support.org/","http://second-support.org/")</f>
        <v>http://second-support.org/</v>
      </c>
      <c r="F78" s="34" t="s">
        <v>432</v>
      </c>
      <c r="G78" s="34" t="s">
        <v>432</v>
      </c>
      <c r="H78" s="32" t="s">
        <v>482</v>
      </c>
      <c r="I78" s="32" t="s">
        <v>483</v>
      </c>
      <c r="J78" s="32" t="s">
        <v>484</v>
      </c>
      <c r="K78" s="35" t="s">
        <v>37</v>
      </c>
      <c r="L78" s="35"/>
      <c r="M78" s="35"/>
      <c r="N78" s="35"/>
      <c r="O78" s="35"/>
      <c r="P78" s="35" t="s">
        <v>37</v>
      </c>
      <c r="Q78" s="35"/>
      <c r="R78" s="35"/>
      <c r="S78" s="35"/>
      <c r="T78" s="35"/>
      <c r="U78" s="35"/>
      <c r="V78" s="35"/>
      <c r="W78" s="35" t="s">
        <v>37</v>
      </c>
      <c r="X78" s="35"/>
      <c r="Y78" s="35"/>
      <c r="Z78" s="35"/>
      <c r="AA78" s="35"/>
      <c r="AB78" s="35"/>
      <c r="AC78" s="35"/>
    </row>
    <row r="79" spans="1:29" ht="229.5">
      <c r="A79" s="36">
        <v>494</v>
      </c>
      <c r="B79" s="37" t="str">
        <f>HYPERLINK("\\intranet-fs4\市）地域振興部\14市民自治推進室\06  市民活動\◎助成・積立・取崩（基金）\00：起案：団体登録\団体情報一覧\団体概要書（更新ごと最新に）pdf\494_prof.pdf","特定非営利活動法人　農村と都市を結ぶ応援団")</f>
        <v>特定非営利活動法人　農村と都市を結ぶ応援団</v>
      </c>
      <c r="C79" s="32" t="s">
        <v>485</v>
      </c>
      <c r="D79" s="32" t="s">
        <v>486</v>
      </c>
      <c r="E79" s="40" t="str">
        <f>HYPERLINK("https://nponoutopia.jimdo.com/","https://nponoutopia.jimdo.com/")</f>
        <v>https://nponoutopia.jimdo.com/</v>
      </c>
      <c r="F79" s="34" t="s">
        <v>294</v>
      </c>
      <c r="G79" s="34" t="s">
        <v>294</v>
      </c>
      <c r="H79" s="32" t="s">
        <v>487</v>
      </c>
      <c r="I79" s="32" t="s">
        <v>488</v>
      </c>
      <c r="J79" s="32" t="s">
        <v>489</v>
      </c>
      <c r="K79" s="35"/>
      <c r="L79" s="35"/>
      <c r="M79" s="35"/>
      <c r="N79" s="35" t="s">
        <v>37</v>
      </c>
      <c r="O79" s="35" t="s">
        <v>37</v>
      </c>
      <c r="P79" s="35"/>
      <c r="Q79" s="35"/>
      <c r="R79" s="35"/>
      <c r="S79" s="35"/>
      <c r="T79" s="35"/>
      <c r="U79" s="35"/>
      <c r="V79" s="35"/>
      <c r="W79" s="35" t="s">
        <v>37</v>
      </c>
      <c r="X79" s="35"/>
      <c r="Y79" s="35"/>
      <c r="Z79" s="35"/>
      <c r="AA79" s="35"/>
      <c r="AB79" s="35"/>
      <c r="AC79" s="35" t="s">
        <v>37</v>
      </c>
    </row>
    <row r="80" spans="1:29" ht="189">
      <c r="A80" s="36">
        <v>495</v>
      </c>
      <c r="B80" s="37" t="str">
        <f>HYPERLINK("\\intranet-fs4\市）地域振興部\14市民自治推進室\06  市民活動\◎助成・積立・取崩（基金）\00：起案：団体登録\団体情報一覧\団体概要書（更新ごと最新に）pdf\495_prof.pdf","特定非営利活動法人　ニルスの会")</f>
        <v>特定非営利活動法人　ニルスの会</v>
      </c>
      <c r="C80" s="32" t="s">
        <v>490</v>
      </c>
      <c r="D80" s="32" t="s">
        <v>491</v>
      </c>
      <c r="E80" s="41"/>
      <c r="F80" s="34" t="s">
        <v>492</v>
      </c>
      <c r="G80" s="34" t="s">
        <v>493</v>
      </c>
      <c r="H80" s="32" t="s">
        <v>494</v>
      </c>
      <c r="I80" s="32" t="s">
        <v>495</v>
      </c>
      <c r="J80" s="32" t="s">
        <v>496</v>
      </c>
      <c r="K80" s="35" t="s">
        <v>37</v>
      </c>
      <c r="L80" s="35"/>
      <c r="M80" s="35" t="s">
        <v>37</v>
      </c>
      <c r="N80" s="35"/>
      <c r="O80" s="35"/>
      <c r="P80" s="35"/>
      <c r="Q80" s="35"/>
      <c r="R80" s="35"/>
      <c r="S80" s="35"/>
      <c r="T80" s="35"/>
      <c r="U80" s="35"/>
      <c r="V80" s="35"/>
      <c r="W80" s="35" t="s">
        <v>37</v>
      </c>
      <c r="X80" s="35"/>
      <c r="Y80" s="35"/>
      <c r="Z80" s="35" t="s">
        <v>37</v>
      </c>
      <c r="AA80" s="35"/>
      <c r="AB80" s="35" t="s">
        <v>37</v>
      </c>
      <c r="AC80" s="35" t="s">
        <v>37</v>
      </c>
    </row>
    <row r="81" spans="1:29" ht="121.5">
      <c r="A81" s="36">
        <v>497</v>
      </c>
      <c r="B81" s="37" t="str">
        <f>HYPERLINK("\\intranet-fs4\市）地域振興部\14市民自治推進室\06  市民活動\◎助成・積立・取崩（基金）\00：起案：団体登録\団体情報一覧\団体概要書（更新ごと最新に）pdf\497_prof.pdf","一般社団法人　手稲まちづくりネットワーク")</f>
        <v>一般社団法人　手稲まちづくりネットワーク</v>
      </c>
      <c r="C81" s="32" t="s">
        <v>497</v>
      </c>
      <c r="D81" s="32" t="s">
        <v>498</v>
      </c>
      <c r="E81" s="33" t="str">
        <f>HYPERLINK("http://melimelo.main.jp","http://melimelo.main.jp")</f>
        <v>http://melimelo.main.jp</v>
      </c>
      <c r="F81" s="34" t="s">
        <v>499</v>
      </c>
      <c r="G81" s="34" t="s">
        <v>500</v>
      </c>
      <c r="H81" s="32" t="s">
        <v>501</v>
      </c>
      <c r="I81" s="32" t="s">
        <v>502</v>
      </c>
      <c r="J81" s="32" t="s">
        <v>503</v>
      </c>
      <c r="K81" s="35" t="s">
        <v>37</v>
      </c>
      <c r="L81" s="35" t="s">
        <v>37</v>
      </c>
      <c r="M81" s="35" t="s">
        <v>37</v>
      </c>
      <c r="N81" s="35"/>
      <c r="O81" s="35"/>
      <c r="P81" s="35" t="s">
        <v>37</v>
      </c>
      <c r="Q81" s="35" t="s">
        <v>37</v>
      </c>
      <c r="R81" s="35"/>
      <c r="S81" s="35" t="s">
        <v>37</v>
      </c>
      <c r="T81" s="35"/>
      <c r="U81" s="35"/>
      <c r="V81" s="35" t="s">
        <v>37</v>
      </c>
      <c r="W81" s="35" t="s">
        <v>37</v>
      </c>
      <c r="X81" s="35"/>
      <c r="Y81" s="35"/>
      <c r="Z81" s="35"/>
      <c r="AA81" s="35"/>
      <c r="AB81" s="35"/>
      <c r="AC81" s="35" t="s">
        <v>37</v>
      </c>
    </row>
    <row r="82" spans="1:29" ht="135">
      <c r="A82" s="36">
        <v>503</v>
      </c>
      <c r="B82" s="37" t="str">
        <f>HYPERLINK("\\intranet-fs4\市）地域振興部\14市民自治推進室\06  市民活動\◎助成・積立・取崩（基金）\00：起案：団体登録\団体情報一覧\団体概要書（更新ごと最新に）pdf\503_prof.pdf","おもちゃクリニック")</f>
        <v>おもちゃクリニック</v>
      </c>
      <c r="C82" s="32" t="s">
        <v>504</v>
      </c>
      <c r="D82" s="32" t="s">
        <v>79</v>
      </c>
      <c r="E82" s="33" t="str">
        <f>HYPERLINK("http://omocha-clinic.sakura.ne.jp/db/","http://omocha-clinic.sakura.ne.jp/db/")</f>
        <v>http://omocha-clinic.sakura.ne.jp/db/</v>
      </c>
      <c r="F82" s="34" t="s">
        <v>505</v>
      </c>
      <c r="G82" s="34" t="s">
        <v>505</v>
      </c>
      <c r="H82" s="32" t="s">
        <v>506</v>
      </c>
      <c r="I82" s="32" t="s">
        <v>507</v>
      </c>
      <c r="J82" s="32" t="s">
        <v>508</v>
      </c>
      <c r="K82" s="35" t="s">
        <v>37</v>
      </c>
      <c r="L82" s="35" t="s">
        <v>37</v>
      </c>
      <c r="M82" s="35" t="s">
        <v>37</v>
      </c>
      <c r="N82" s="35"/>
      <c r="O82" s="35"/>
      <c r="P82" s="35"/>
      <c r="Q82" s="35" t="s">
        <v>37</v>
      </c>
      <c r="R82" s="35"/>
      <c r="S82" s="35"/>
      <c r="T82" s="35"/>
      <c r="U82" s="35"/>
      <c r="V82" s="35"/>
      <c r="W82" s="35" t="s">
        <v>37</v>
      </c>
      <c r="X82" s="35"/>
      <c r="Y82" s="35" t="s">
        <v>37</v>
      </c>
      <c r="Z82" s="35"/>
      <c r="AA82" s="35"/>
      <c r="AB82" s="35" t="s">
        <v>37</v>
      </c>
      <c r="AC82" s="35" t="s">
        <v>37</v>
      </c>
    </row>
    <row r="83" spans="1:29" ht="94.5">
      <c r="A83" s="36">
        <v>507</v>
      </c>
      <c r="B83" s="37" t="str">
        <f>HYPERLINK("\\intranet-fs4\市）地域振興部\14市民自治推進室\06  市民活動\◎助成・積立・取崩（基金）\00：起案：団体登録\団体情報一覧\団体概要書（更新ごと最新に）pdf\507_prof.pdf","一般社団法人ホリスティックケア協会")</f>
        <v>一般社団法人ホリスティックケア協会</v>
      </c>
      <c r="C83" s="32" t="s">
        <v>509</v>
      </c>
      <c r="D83" s="32" t="s">
        <v>39</v>
      </c>
      <c r="E83" s="41"/>
      <c r="F83" s="34" t="s">
        <v>510</v>
      </c>
      <c r="G83" s="34" t="s">
        <v>348</v>
      </c>
      <c r="H83" s="32" t="s">
        <v>511</v>
      </c>
      <c r="I83" s="32" t="s">
        <v>512</v>
      </c>
      <c r="J83" s="32" t="s">
        <v>513</v>
      </c>
      <c r="K83" s="35"/>
      <c r="L83" s="35" t="s">
        <v>37</v>
      </c>
      <c r="M83" s="35"/>
      <c r="N83" s="35"/>
      <c r="O83" s="35"/>
      <c r="P83" s="35"/>
      <c r="Q83" s="35"/>
      <c r="R83" s="35"/>
      <c r="S83" s="35"/>
      <c r="T83" s="35"/>
      <c r="U83" s="35"/>
      <c r="V83" s="35"/>
      <c r="W83" s="35" t="s">
        <v>37</v>
      </c>
      <c r="X83" s="35"/>
      <c r="Y83" s="35"/>
      <c r="Z83" s="35"/>
      <c r="AA83" s="35"/>
      <c r="AB83" s="35"/>
      <c r="AC83" s="35" t="s">
        <v>37</v>
      </c>
    </row>
    <row r="84" spans="1:29" ht="54">
      <c r="A84" s="36">
        <v>510</v>
      </c>
      <c r="B84" s="37" t="str">
        <f>HYPERLINK("\\intranet-fs4\市）地域振興部\14市民自治推進室\06  市民活動\◎助成・積立・取崩（基金）\00：起案：団体登録\団体情報一覧\団体概要書（更新ごと最新に）pdf\510_prof.pdf","一般社団法人北海道健康医療フロンティア")</f>
        <v>一般社団法人北海道健康医療フロンティア</v>
      </c>
      <c r="C84" s="32" t="s">
        <v>514</v>
      </c>
      <c r="D84" s="32" t="s">
        <v>79</v>
      </c>
      <c r="E84" s="38" t="str">
        <f>HYPERLINK("http://www.kenko-iryo.org/","http://www.kenko-iryo.org/")</f>
        <v>http://www.kenko-iryo.org/</v>
      </c>
      <c r="F84" s="34" t="s">
        <v>515</v>
      </c>
      <c r="G84" s="34" t="s">
        <v>515</v>
      </c>
      <c r="H84" s="32" t="s">
        <v>516</v>
      </c>
      <c r="I84" s="32" t="s">
        <v>517</v>
      </c>
      <c r="J84" s="32" t="s">
        <v>518</v>
      </c>
      <c r="K84" s="35" t="s">
        <v>37</v>
      </c>
      <c r="L84" s="35"/>
      <c r="M84" s="35"/>
      <c r="N84" s="35"/>
      <c r="O84" s="35"/>
      <c r="P84" s="35"/>
      <c r="Q84" s="35"/>
      <c r="R84" s="35"/>
      <c r="S84" s="35"/>
      <c r="T84" s="35"/>
      <c r="U84" s="35"/>
      <c r="V84" s="35"/>
      <c r="W84" s="35" t="s">
        <v>37</v>
      </c>
      <c r="X84" s="35"/>
      <c r="Y84" s="35"/>
      <c r="Z84" s="35"/>
      <c r="AA84" s="35"/>
      <c r="AB84" s="35"/>
      <c r="AC84" s="35"/>
    </row>
    <row r="85" spans="1:29" ht="135">
      <c r="A85" s="36">
        <v>513</v>
      </c>
      <c r="B85" s="37" t="str">
        <f>HYPERLINK("\\intranet-fs4\市）地域振興部\14市民自治推進室\06  市民活動\◎助成・積立・取崩（基金）\00：起案：団体登録\団体情報一覧\団体概要書（更新ごと最新に）pdf\513_prof.pdf","特定非営利活動法人　北海道ライフスポーツ推進協会")</f>
        <v>特定非営利活動法人　北海道ライフスポーツ推進協会</v>
      </c>
      <c r="C85" s="32" t="s">
        <v>519</v>
      </c>
      <c r="D85" s="32" t="s">
        <v>520</v>
      </c>
      <c r="E85" s="33" t="str">
        <f>HYPERLINK("http://ameblo.jp/npo-h-lspa/","http://ameblo.jp/npo-h-lspa/")</f>
        <v>http://ameblo.jp/npo-h-lspa/</v>
      </c>
      <c r="F85" s="34" t="s">
        <v>521</v>
      </c>
      <c r="G85" s="34" t="s">
        <v>521</v>
      </c>
      <c r="H85" s="32" t="s">
        <v>522</v>
      </c>
      <c r="I85" s="32" t="s">
        <v>523</v>
      </c>
      <c r="J85" s="32" t="s">
        <v>524</v>
      </c>
      <c r="K85" s="35" t="s">
        <v>37</v>
      </c>
      <c r="L85" s="35"/>
      <c r="M85" s="35"/>
      <c r="N85" s="35"/>
      <c r="O85" s="35"/>
      <c r="P85" s="35" t="s">
        <v>37</v>
      </c>
      <c r="Q85" s="35"/>
      <c r="R85" s="35"/>
      <c r="S85" s="35"/>
      <c r="T85" s="35"/>
      <c r="U85" s="35"/>
      <c r="V85" s="35"/>
      <c r="W85" s="35" t="s">
        <v>37</v>
      </c>
      <c r="X85" s="35"/>
      <c r="Y85" s="35"/>
      <c r="Z85" s="35"/>
      <c r="AA85" s="35"/>
      <c r="AB85" s="35"/>
      <c r="AC85" s="35"/>
    </row>
    <row r="86" spans="1:29" ht="94.5">
      <c r="A86" s="36">
        <v>515</v>
      </c>
      <c r="B86" s="37" t="str">
        <f>HYPERLINK("\\intranet-fs4\市）地域振興部\14市民自治推進室\06  市民活動\◎助成・積立・取崩（基金）\00：起案：団体登録\団体情報一覧\団体概要書（更新ごと最新に）pdf\515_prof.pdf","特定非営利活動法人　たすけ愛ふくろう清田")</f>
        <v>特定非営利活動法人　たすけ愛ふくろう清田</v>
      </c>
      <c r="C86" s="32" t="s">
        <v>525</v>
      </c>
      <c r="D86" s="32" t="s">
        <v>526</v>
      </c>
      <c r="E86" s="38" t="str">
        <f>HYPERLINK("http://www.fukuro3.net/","http://www.fukuro3.net/")</f>
        <v>http://www.fukuro3.net/</v>
      </c>
      <c r="F86" s="34" t="s">
        <v>527</v>
      </c>
      <c r="G86" s="34" t="s">
        <v>439</v>
      </c>
      <c r="H86" s="32" t="s">
        <v>528</v>
      </c>
      <c r="I86" s="32" t="s">
        <v>529</v>
      </c>
      <c r="J86" s="32" t="s">
        <v>530</v>
      </c>
      <c r="K86" s="35" t="s">
        <v>37</v>
      </c>
      <c r="L86" s="35" t="s">
        <v>37</v>
      </c>
      <c r="M86" s="35" t="s">
        <v>37</v>
      </c>
      <c r="N86" s="35"/>
      <c r="O86" s="35"/>
      <c r="P86" s="35"/>
      <c r="Q86" s="35"/>
      <c r="R86" s="35"/>
      <c r="S86" s="35"/>
      <c r="T86" s="35"/>
      <c r="U86" s="35"/>
      <c r="V86" s="35"/>
      <c r="W86" s="35" t="s">
        <v>37</v>
      </c>
      <c r="X86" s="35"/>
      <c r="Y86" s="35"/>
      <c r="Z86" s="35"/>
      <c r="AA86" s="35"/>
      <c r="AB86" s="35"/>
      <c r="AC86" s="35" t="s">
        <v>37</v>
      </c>
    </row>
    <row r="87" spans="1:29" ht="94.5">
      <c r="A87" s="36">
        <v>518</v>
      </c>
      <c r="B87" s="37" t="str">
        <f>HYPERLINK("\\intranet-fs4\市）地域振興部\14市民自治推進室\06  市民活動\◎助成・積立・取崩（基金）\00：起案：団体登録\団体情報一覧\団体概要書（更新ごと最新に）pdf\518_prof.pdf","福住地区町内会連合会")</f>
        <v>福住地区町内会連合会</v>
      </c>
      <c r="C87" s="32" t="s">
        <v>531</v>
      </c>
      <c r="D87" s="32" t="s">
        <v>532</v>
      </c>
      <c r="E87" s="41"/>
      <c r="F87" s="34" t="s">
        <v>533</v>
      </c>
      <c r="G87" s="34" t="s">
        <v>533</v>
      </c>
      <c r="H87" s="32" t="s">
        <v>534</v>
      </c>
      <c r="I87" s="32" t="s">
        <v>535</v>
      </c>
      <c r="J87" s="32" t="s">
        <v>536</v>
      </c>
      <c r="K87" s="35" t="s">
        <v>37</v>
      </c>
      <c r="L87" s="35" t="s">
        <v>37</v>
      </c>
      <c r="M87" s="35" t="s">
        <v>37</v>
      </c>
      <c r="N87" s="35"/>
      <c r="O87" s="35"/>
      <c r="P87" s="35" t="s">
        <v>37</v>
      </c>
      <c r="Q87" s="35" t="s">
        <v>37</v>
      </c>
      <c r="R87" s="35"/>
      <c r="S87" s="35" t="s">
        <v>37</v>
      </c>
      <c r="T87" s="35"/>
      <c r="U87" s="35"/>
      <c r="V87" s="35"/>
      <c r="W87" s="35" t="s">
        <v>37</v>
      </c>
      <c r="X87" s="35"/>
      <c r="Y87" s="35"/>
      <c r="Z87" s="35"/>
      <c r="AA87" s="35"/>
      <c r="AB87" s="35"/>
      <c r="AC87" s="35" t="s">
        <v>37</v>
      </c>
    </row>
    <row r="88" spans="1:29" ht="135">
      <c r="A88" s="36">
        <v>519</v>
      </c>
      <c r="B88" s="37" t="str">
        <f>HYPERLINK("\\intranet-fs4\市）地域振興部\14市民自治推進室\06  市民活動\◎助成・積立・取崩（基金）\00：起案：団体登録\団体情報一覧\団体概要書（更新ごと最新に）pdf\519_prof.pdf","北海道カーリンコン協会")</f>
        <v>北海道カーリンコン協会</v>
      </c>
      <c r="C88" s="32" t="s">
        <v>537</v>
      </c>
      <c r="D88" s="32" t="s">
        <v>538</v>
      </c>
      <c r="E88" s="33" t="str">
        <f>HYPERLINK("http://hokkaidocurlinkon.com","http://hokkaidocurlinkon.com")</f>
        <v>http://hokkaidocurlinkon.com</v>
      </c>
      <c r="F88" s="34" t="s">
        <v>539</v>
      </c>
      <c r="G88" s="34" t="s">
        <v>355</v>
      </c>
      <c r="H88" s="32" t="s">
        <v>540</v>
      </c>
      <c r="I88" s="32" t="s">
        <v>541</v>
      </c>
      <c r="J88" s="32" t="s">
        <v>542</v>
      </c>
      <c r="K88" s="35" t="s">
        <v>37</v>
      </c>
      <c r="L88" s="35"/>
      <c r="M88" s="35" t="s">
        <v>37</v>
      </c>
      <c r="N88" s="35"/>
      <c r="O88" s="35"/>
      <c r="P88" s="35" t="s">
        <v>37</v>
      </c>
      <c r="Q88" s="35"/>
      <c r="R88" s="35"/>
      <c r="S88" s="35"/>
      <c r="T88" s="35"/>
      <c r="U88" s="35"/>
      <c r="V88" s="35"/>
      <c r="W88" s="35"/>
      <c r="X88" s="35"/>
      <c r="Y88" s="35"/>
      <c r="Z88" s="35"/>
      <c r="AA88" s="35"/>
      <c r="AB88" s="35"/>
      <c r="AC88" s="35"/>
    </row>
    <row r="89" spans="1:29" ht="81">
      <c r="A89" s="36">
        <v>526</v>
      </c>
      <c r="B89" s="37" t="str">
        <f>HYPERLINK("\\intranet-fs4\市）地域振興部\14市民自治推進室\06  市民活動\◎助成・積立・取崩（基金）\00：起案：団体登録\団体情報一覧\団体概要書（更新ごと最新に）pdf\526_prof.pdf","北海道障害者スキー協会")</f>
        <v>北海道障害者スキー協会</v>
      </c>
      <c r="C89" s="32" t="s">
        <v>543</v>
      </c>
      <c r="D89" s="32" t="s">
        <v>544</v>
      </c>
      <c r="E89" s="41"/>
      <c r="F89" s="34" t="s">
        <v>545</v>
      </c>
      <c r="G89" s="34" t="s">
        <v>545</v>
      </c>
      <c r="H89" s="32" t="s">
        <v>546</v>
      </c>
      <c r="I89" s="32" t="s">
        <v>547</v>
      </c>
      <c r="J89" s="32" t="s">
        <v>548</v>
      </c>
      <c r="K89" s="35"/>
      <c r="L89" s="35"/>
      <c r="M89" s="35"/>
      <c r="N89" s="35"/>
      <c r="O89" s="35"/>
      <c r="P89" s="35" t="s">
        <v>37</v>
      </c>
      <c r="Q89" s="35"/>
      <c r="R89" s="35"/>
      <c r="S89" s="35"/>
      <c r="T89" s="35"/>
      <c r="U89" s="35"/>
      <c r="V89" s="35"/>
      <c r="W89" s="35"/>
      <c r="X89" s="35"/>
      <c r="Y89" s="35"/>
      <c r="Z89" s="35"/>
      <c r="AA89" s="35"/>
      <c r="AB89" s="35"/>
      <c r="AC89" s="35"/>
    </row>
    <row r="90" spans="1:29" ht="162">
      <c r="A90" s="36">
        <v>532</v>
      </c>
      <c r="B90" s="37" t="str">
        <f>HYPERLINK("\\intranet-fs4\市）地域振興部\14市民自治推進室\06  市民活動\◎助成・積立・取崩（基金）\00：起案：団体登録\団体情報一覧\団体概要書（更新ごと最新に）pdf\532_prof.pdf","一般社団法人相互支援団体かえりん")</f>
        <v>一般社団法人相互支援団体かえりん</v>
      </c>
      <c r="C90" s="32" t="s">
        <v>549</v>
      </c>
      <c r="D90" s="32" t="s">
        <v>257</v>
      </c>
      <c r="E90" s="33" t="str">
        <f>HYPERLINK("http://ameblo.jp/kaerim/","http://ameblo.jp/kaerim/")</f>
        <v>http://ameblo.jp/kaerim/</v>
      </c>
      <c r="F90" s="34" t="s">
        <v>550</v>
      </c>
      <c r="G90" s="34" t="s">
        <v>551</v>
      </c>
      <c r="H90" s="32" t="s">
        <v>552</v>
      </c>
      <c r="I90" s="32" t="s">
        <v>553</v>
      </c>
      <c r="J90" s="32" t="s">
        <v>554</v>
      </c>
      <c r="K90" s="35"/>
      <c r="L90" s="35"/>
      <c r="M90" s="35"/>
      <c r="N90" s="35"/>
      <c r="O90" s="35"/>
      <c r="P90" s="35"/>
      <c r="Q90" s="35"/>
      <c r="R90" s="35"/>
      <c r="S90" s="35"/>
      <c r="T90" s="35"/>
      <c r="U90" s="35"/>
      <c r="V90" s="35" t="s">
        <v>37</v>
      </c>
      <c r="W90" s="35" t="s">
        <v>37</v>
      </c>
      <c r="X90" s="35"/>
      <c r="Y90" s="35"/>
      <c r="Z90" s="35"/>
      <c r="AA90" s="35"/>
      <c r="AB90" s="35"/>
      <c r="AC90" s="35"/>
    </row>
    <row r="91" spans="1:29" ht="162">
      <c r="A91" s="36">
        <v>533</v>
      </c>
      <c r="B91" s="37" t="str">
        <f>HYPERLINK("\\intranet-fs4\市）地域振興部\14市民自治推進室\06  市民活動\◎助成・積立・取崩（基金）\00：起案：団体登録\団体情報一覧\団体概要書（更新ごと最新に）pdf\533_prof.pdf","こども食堂「もくきち」")</f>
        <v>こども食堂「もくきち」</v>
      </c>
      <c r="C91" s="32" t="s">
        <v>555</v>
      </c>
      <c r="D91" s="32" t="s">
        <v>556</v>
      </c>
      <c r="E91" s="33" t="str">
        <f>HYPERLINK("http://www.mokukichi.net/","http://www.mokukichi.net/")</f>
        <v>http://www.mokukichi.net/</v>
      </c>
      <c r="F91" s="34" t="s">
        <v>557</v>
      </c>
      <c r="G91" s="34" t="s">
        <v>558</v>
      </c>
      <c r="H91" s="32" t="s">
        <v>559</v>
      </c>
      <c r="I91" s="32" t="s">
        <v>560</v>
      </c>
      <c r="J91" s="32" t="s">
        <v>561</v>
      </c>
      <c r="K91" s="35"/>
      <c r="L91" s="35"/>
      <c r="M91" s="35" t="s">
        <v>37</v>
      </c>
      <c r="N91" s="35"/>
      <c r="O91" s="35"/>
      <c r="P91" s="35"/>
      <c r="Q91" s="35"/>
      <c r="R91" s="35"/>
      <c r="S91" s="35"/>
      <c r="T91" s="35"/>
      <c r="U91" s="35"/>
      <c r="V91" s="35"/>
      <c r="W91" s="35" t="s">
        <v>37</v>
      </c>
      <c r="X91" s="35"/>
      <c r="Y91" s="35"/>
      <c r="Z91" s="35"/>
      <c r="AA91" s="35"/>
      <c r="AB91" s="35"/>
      <c r="AC91" s="35"/>
    </row>
    <row r="92" spans="1:29" ht="67.5">
      <c r="A92" s="36">
        <v>539</v>
      </c>
      <c r="B92" s="37" t="str">
        <f>HYPERLINK("\\intranet-fs4\市）地域振興部\14市民自治推進室\06  市民活動\◎助成・積立・取崩（基金）\00：起案：団体登録\団体情報一覧\団体概要書（更新ごと最新に）pdf\539_prof.pdf","こども食堂　ぐれ～す")</f>
        <v>こども食堂　ぐれ～す</v>
      </c>
      <c r="C92" s="32" t="s">
        <v>562</v>
      </c>
      <c r="D92" s="32" t="s">
        <v>498</v>
      </c>
      <c r="E92" s="41"/>
      <c r="F92" s="34" t="s">
        <v>563</v>
      </c>
      <c r="G92" s="34" t="s">
        <v>551</v>
      </c>
      <c r="H92" s="32" t="s">
        <v>564</v>
      </c>
      <c r="I92" s="32" t="s">
        <v>565</v>
      </c>
      <c r="J92" s="32" t="s">
        <v>566</v>
      </c>
      <c r="K92" s="35"/>
      <c r="L92" s="35"/>
      <c r="M92" s="35"/>
      <c r="N92" s="35"/>
      <c r="O92" s="35"/>
      <c r="P92" s="35"/>
      <c r="Q92" s="35"/>
      <c r="R92" s="35"/>
      <c r="S92" s="35"/>
      <c r="T92" s="35"/>
      <c r="U92" s="35"/>
      <c r="V92" s="35"/>
      <c r="W92" s="35" t="s">
        <v>37</v>
      </c>
      <c r="X92" s="35"/>
      <c r="Y92" s="35"/>
      <c r="Z92" s="35"/>
      <c r="AA92" s="35"/>
      <c r="AB92" s="35"/>
      <c r="AC92" s="35"/>
    </row>
    <row r="93" spans="1:29" ht="391.5">
      <c r="A93" s="36">
        <v>546</v>
      </c>
      <c r="B93" s="37" t="str">
        <f>HYPERLINK("\\intranet-fs4\市）地域振興部\14市民自治推進室\06  市民活動\◎助成・積立・取崩（基金）\00：起案：団体登録\団体情報一覧\団体概要書（更新ごと最新に）pdf\546_prof.pdf","特定非営利活動法人　北海道環境カウンセラー協会")</f>
        <v>特定非営利活動法人　北海道環境カウンセラー協会</v>
      </c>
      <c r="C93" s="32" t="s">
        <v>567</v>
      </c>
      <c r="D93" s="32" t="s">
        <v>39</v>
      </c>
      <c r="E93" s="33" t="str">
        <f>HYPERLINK("www.ec-hokkaido.comhttp://www.ec-hokkaido.com","www.ec-hokkaido.comhttp://www.ec-hokkaido.com")</f>
        <v>www.ec-hokkaido.comhttp://www.ec-hokkaido.com</v>
      </c>
      <c r="F93" s="34" t="s">
        <v>568</v>
      </c>
      <c r="G93" s="34" t="s">
        <v>569</v>
      </c>
      <c r="H93" s="32" t="s">
        <v>570</v>
      </c>
      <c r="I93" s="32" t="s">
        <v>571</v>
      </c>
      <c r="J93" s="32" t="s">
        <v>572</v>
      </c>
      <c r="K93" s="35"/>
      <c r="L93" s="35"/>
      <c r="M93" s="35"/>
      <c r="N93" s="35"/>
      <c r="O93" s="35"/>
      <c r="P93" s="35"/>
      <c r="Q93" s="35" t="s">
        <v>37</v>
      </c>
      <c r="R93" s="35"/>
      <c r="S93" s="35"/>
      <c r="T93" s="35"/>
      <c r="U93" s="35"/>
      <c r="V93" s="35"/>
      <c r="W93" s="35"/>
      <c r="X93" s="35"/>
      <c r="Y93" s="35"/>
      <c r="Z93" s="35"/>
      <c r="AA93" s="35"/>
      <c r="AB93" s="35"/>
      <c r="AC93" s="35"/>
    </row>
    <row r="94" spans="1:29" ht="67.5">
      <c r="A94" s="36">
        <v>549</v>
      </c>
      <c r="B94" s="37" t="str">
        <f>HYPERLINK("\\intranet-fs4\市）地域振興部\14市民自治推進室\06  市民活動\◎助成・積立・取崩（基金）\00：起案：団体登録\団体情報一覧\団体概要書（更新ごと最新に）pdf\549_prof.pdf","札幌市東区文化団体協議会")</f>
        <v>札幌市東区文化団体協議会</v>
      </c>
      <c r="C94" s="32" t="s">
        <v>573</v>
      </c>
      <c r="D94" s="32" t="s">
        <v>574</v>
      </c>
      <c r="E94" s="41"/>
      <c r="F94" s="34" t="s">
        <v>575</v>
      </c>
      <c r="G94" s="34" t="s">
        <v>575</v>
      </c>
      <c r="H94" s="32" t="s">
        <v>576</v>
      </c>
      <c r="I94" s="32" t="s">
        <v>577</v>
      </c>
      <c r="J94" s="32" t="s">
        <v>578</v>
      </c>
      <c r="K94" s="35"/>
      <c r="L94" s="35"/>
      <c r="M94" s="35" t="s">
        <v>37</v>
      </c>
      <c r="N94" s="35"/>
      <c r="O94" s="35"/>
      <c r="P94" s="35" t="s">
        <v>37</v>
      </c>
      <c r="Q94" s="35"/>
      <c r="R94" s="35"/>
      <c r="S94" s="35"/>
      <c r="T94" s="35"/>
      <c r="U94" s="35"/>
      <c r="V94" s="35"/>
      <c r="W94" s="35" t="s">
        <v>37</v>
      </c>
      <c r="X94" s="35"/>
      <c r="Y94" s="35"/>
      <c r="Z94" s="35"/>
      <c r="AA94" s="35"/>
      <c r="AB94" s="35"/>
      <c r="AC94" s="35"/>
    </row>
    <row r="95" spans="1:29" ht="189">
      <c r="A95" s="36">
        <v>553</v>
      </c>
      <c r="B95" s="37" t="str">
        <f>HYPERLINK("\\intranet-fs4\市）地域振興部\14市民自治推進室\06  市民活動\◎助成・積立・取崩（基金）\00：起案：団体登録\団体情報一覧\団体概要書（更新ごと最新に）pdf\553_prof.pdf","八軒連合町内会")</f>
        <v>八軒連合町内会</v>
      </c>
      <c r="C95" s="32" t="s">
        <v>579</v>
      </c>
      <c r="D95" s="32" t="s">
        <v>580</v>
      </c>
      <c r="E95" s="41"/>
      <c r="F95" s="34" t="s">
        <v>581</v>
      </c>
      <c r="G95" s="34" t="s">
        <v>581</v>
      </c>
      <c r="H95" s="32" t="s">
        <v>582</v>
      </c>
      <c r="I95" s="32" t="s">
        <v>583</v>
      </c>
      <c r="J95" s="32" t="s">
        <v>584</v>
      </c>
      <c r="K95" s="35" t="s">
        <v>37</v>
      </c>
      <c r="L95" s="35"/>
      <c r="M95" s="35" t="s">
        <v>37</v>
      </c>
      <c r="N95" s="35"/>
      <c r="O95" s="35"/>
      <c r="P95" s="35" t="s">
        <v>37</v>
      </c>
      <c r="Q95" s="35" t="s">
        <v>37</v>
      </c>
      <c r="R95" s="35" t="s">
        <v>37</v>
      </c>
      <c r="S95" s="35" t="s">
        <v>37</v>
      </c>
      <c r="T95" s="35"/>
      <c r="U95" s="35"/>
      <c r="V95" s="35"/>
      <c r="W95" s="35" t="s">
        <v>37</v>
      </c>
      <c r="X95" s="35"/>
      <c r="Y95" s="35"/>
      <c r="Z95" s="35"/>
      <c r="AA95" s="35"/>
      <c r="AB95" s="35"/>
      <c r="AC95" s="35"/>
    </row>
    <row r="96" spans="1:29" ht="67.5">
      <c r="A96" s="36">
        <v>555</v>
      </c>
      <c r="B96" s="37" t="str">
        <f>HYPERLINK("\\intranet-fs4\市）地域振興部\14市民自治推進室\06  市民活動\◎助成・積立・取崩（基金）\00：起案：団体登録\団体情報一覧\団体概要書（更新ごと最新に）pdf\555_prof.pdf","特定非営利活動法人北海道エンブリッジ")</f>
        <v>特定非営利活動法人北海道エンブリッジ</v>
      </c>
      <c r="C96" s="32" t="s">
        <v>585</v>
      </c>
      <c r="D96" s="32" t="s">
        <v>39</v>
      </c>
      <c r="E96" s="33" t="str">
        <f>HYPERLINK("http://en-bridge.org/","http://en-bridge.org/")</f>
        <v>http://en-bridge.org/</v>
      </c>
      <c r="F96" s="34" t="s">
        <v>586</v>
      </c>
      <c r="G96" s="34" t="s">
        <v>143</v>
      </c>
      <c r="H96" s="32" t="s">
        <v>587</v>
      </c>
      <c r="I96" s="32" t="s">
        <v>588</v>
      </c>
      <c r="J96" s="32" t="s">
        <v>589</v>
      </c>
      <c r="K96" s="35"/>
      <c r="L96" s="35" t="s">
        <v>37</v>
      </c>
      <c r="M96" s="35" t="s">
        <v>37</v>
      </c>
      <c r="N96" s="35"/>
      <c r="O96" s="35"/>
      <c r="P96" s="35"/>
      <c r="Q96" s="35"/>
      <c r="R96" s="35"/>
      <c r="S96" s="35"/>
      <c r="T96" s="35"/>
      <c r="U96" s="35"/>
      <c r="V96" s="35"/>
      <c r="W96" s="35"/>
      <c r="X96" s="35"/>
      <c r="Y96" s="35"/>
      <c r="Z96" s="35" t="s">
        <v>37</v>
      </c>
      <c r="AA96" s="35" t="s">
        <v>37</v>
      </c>
      <c r="AB96" s="35"/>
      <c r="AC96" s="35"/>
    </row>
    <row r="97" spans="1:29" ht="40.5">
      <c r="A97" s="36">
        <v>556</v>
      </c>
      <c r="B97" s="37" t="str">
        <f>HYPERLINK("\\intranet-fs4\市）地域振興部\14市民自治推進室\06  市民活動\◎助成・積立・取崩（基金）\00：起案：団体登録\団体情報一覧\団体概要書（更新ごと最新に）pdf\556_prof.pdf","特定非営利活動法人　北海道スノースポーツアカデミー")</f>
        <v>特定非営利活動法人　北海道スノースポーツアカデミー</v>
      </c>
      <c r="C97" s="32" t="s">
        <v>590</v>
      </c>
      <c r="D97" s="32" t="s">
        <v>115</v>
      </c>
      <c r="E97" s="41"/>
      <c r="F97" s="34" t="s">
        <v>591</v>
      </c>
      <c r="G97" s="34" t="s">
        <v>591</v>
      </c>
      <c r="H97" s="32" t="s">
        <v>592</v>
      </c>
      <c r="I97" s="32" t="s">
        <v>593</v>
      </c>
      <c r="J97" s="32" t="s">
        <v>594</v>
      </c>
      <c r="K97" s="35"/>
      <c r="L97" s="35" t="s">
        <v>37</v>
      </c>
      <c r="M97" s="35"/>
      <c r="N97" s="35"/>
      <c r="O97" s="35" t="s">
        <v>37</v>
      </c>
      <c r="P97" s="35" t="s">
        <v>37</v>
      </c>
      <c r="Q97" s="35"/>
      <c r="R97" s="35"/>
      <c r="S97" s="35"/>
      <c r="T97" s="35"/>
      <c r="U97" s="35" t="s">
        <v>37</v>
      </c>
      <c r="V97" s="35"/>
      <c r="W97" s="35" t="s">
        <v>37</v>
      </c>
      <c r="X97" s="35"/>
      <c r="Y97" s="35"/>
      <c r="Z97" s="35"/>
      <c r="AA97" s="35"/>
      <c r="AB97" s="35"/>
      <c r="AC97" s="35"/>
    </row>
    <row r="98" spans="1:29" ht="148.5">
      <c r="A98" s="36">
        <v>557</v>
      </c>
      <c r="B98" s="37" t="str">
        <f>HYPERLINK("\\intranet-fs4\市）地域振興部\14市民自治推進室\06  市民活動\◎助成・積立・取崩（基金）\00：起案：団体登録\団体情報一覧\団体概要書（更新ごと最新に）pdf\557_prof.pdf","三角山の緑を守る会")</f>
        <v>三角山の緑を守る会</v>
      </c>
      <c r="C98" s="32" t="s">
        <v>595</v>
      </c>
      <c r="D98" s="32" t="s">
        <v>596</v>
      </c>
      <c r="E98" s="33" t="str">
        <f>HYPERLINK("https://protect-green-mt-sankaku.jimdo.com/","https://protect-green-mt-sankaku.jimdo.com/")</f>
        <v>https://protect-green-mt-sankaku.jimdo.com/</v>
      </c>
      <c r="F98" s="34" t="s">
        <v>597</v>
      </c>
      <c r="G98" s="34" t="s">
        <v>598</v>
      </c>
      <c r="H98" s="32" t="s">
        <v>599</v>
      </c>
      <c r="I98" s="32" t="s">
        <v>600</v>
      </c>
      <c r="J98" s="32" t="s">
        <v>601</v>
      </c>
      <c r="K98" s="35"/>
      <c r="L98" s="35" t="s">
        <v>37</v>
      </c>
      <c r="M98" s="35" t="s">
        <v>37</v>
      </c>
      <c r="N98" s="35"/>
      <c r="O98" s="35"/>
      <c r="P98" s="35" t="s">
        <v>37</v>
      </c>
      <c r="Q98" s="35" t="s">
        <v>37</v>
      </c>
      <c r="R98" s="35"/>
      <c r="S98" s="35" t="s">
        <v>37</v>
      </c>
      <c r="T98" s="35"/>
      <c r="U98" s="35"/>
      <c r="V98" s="35"/>
      <c r="W98" s="35"/>
      <c r="X98" s="35"/>
      <c r="Y98" s="35"/>
      <c r="Z98" s="35"/>
      <c r="AA98" s="35"/>
      <c r="AB98" s="35"/>
      <c r="AC98" s="35"/>
    </row>
    <row r="99" spans="1:29" ht="189">
      <c r="A99" s="36">
        <v>558</v>
      </c>
      <c r="B99" s="37" t="str">
        <f>HYPERLINK("\\intranet-fs4\市）地域振興部\14市民自治推進室\06  市民活動\◎助成・積立・取崩（基金）\00：起案：団体登録\団体情報一覧\団体概要書（更新ごと最新に）pdf\558_prof.pdf","一般社団法人　札幌市小動物獣医師会")</f>
        <v>一般社団法人　札幌市小動物獣医師会</v>
      </c>
      <c r="C99" s="32" t="s">
        <v>602</v>
      </c>
      <c r="D99" s="32" t="s">
        <v>79</v>
      </c>
      <c r="E99" s="38" t="str">
        <f>HYPERLINK("http://www.vets-sapporo.com","http://www.vets-sapporo.com")</f>
        <v>http://www.vets-sapporo.com</v>
      </c>
      <c r="F99" s="34" t="s">
        <v>581</v>
      </c>
      <c r="G99" s="34" t="s">
        <v>581</v>
      </c>
      <c r="H99" s="32" t="s">
        <v>603</v>
      </c>
      <c r="I99" s="32" t="s">
        <v>604</v>
      </c>
      <c r="J99" s="32" t="s">
        <v>605</v>
      </c>
      <c r="K99" s="35" t="s">
        <v>37</v>
      </c>
      <c r="L99" s="35"/>
      <c r="M99" s="35" t="s">
        <v>37</v>
      </c>
      <c r="N99" s="35"/>
      <c r="O99" s="35"/>
      <c r="P99" s="35"/>
      <c r="Q99" s="35"/>
      <c r="R99" s="35" t="s">
        <v>37</v>
      </c>
      <c r="S99" s="35"/>
      <c r="T99" s="35"/>
      <c r="U99" s="35"/>
      <c r="V99" s="35"/>
      <c r="W99" s="35" t="s">
        <v>37</v>
      </c>
      <c r="X99" s="35"/>
      <c r="Y99" s="35"/>
      <c r="Z99" s="35"/>
      <c r="AA99" s="35"/>
      <c r="AB99" s="35"/>
      <c r="AC99" s="35"/>
    </row>
    <row r="100" spans="1:29" ht="121.5">
      <c r="A100" s="36">
        <v>559</v>
      </c>
      <c r="B100" s="37" t="str">
        <f>HYPERLINK("\\intranet-fs4\市）地域振興部\14市民自治推進室\06  市民活動\◎助成・積立・取崩（基金）\00：起案：団体登録\団体情報一覧\団体概要書（更新ごと最新に）pdf\559_prof.pdf","障がい当事者講師の会　すぷりんぐ")</f>
        <v>障がい当事者講師の会　すぷりんぐ</v>
      </c>
      <c r="C100" s="32" t="s">
        <v>606</v>
      </c>
      <c r="D100" s="32" t="s">
        <v>607</v>
      </c>
      <c r="E100" s="33" t="str">
        <f>HYPERLINK("http://spring-hokkaido.jimdo.com","http://spring-hokkaido.jimdo.com")</f>
        <v>http://spring-hokkaido.jimdo.com</v>
      </c>
      <c r="F100" s="34" t="s">
        <v>312</v>
      </c>
      <c r="G100" s="34" t="s">
        <v>312</v>
      </c>
      <c r="H100" s="32" t="s">
        <v>608</v>
      </c>
      <c r="I100" s="32" t="s">
        <v>609</v>
      </c>
      <c r="J100" s="32" t="s">
        <v>610</v>
      </c>
      <c r="K100" s="35" t="s">
        <v>37</v>
      </c>
      <c r="L100" s="35" t="s">
        <v>37</v>
      </c>
      <c r="M100" s="35" t="s">
        <v>37</v>
      </c>
      <c r="N100" s="35" t="s">
        <v>37</v>
      </c>
      <c r="O100" s="35"/>
      <c r="P100" s="35" t="s">
        <v>37</v>
      </c>
      <c r="Q100" s="35"/>
      <c r="R100" s="35"/>
      <c r="S100" s="35" t="s">
        <v>37</v>
      </c>
      <c r="T100" s="35" t="s">
        <v>37</v>
      </c>
      <c r="U100" s="35" t="s">
        <v>37</v>
      </c>
      <c r="V100" s="35" t="s">
        <v>37</v>
      </c>
      <c r="W100" s="35" t="s">
        <v>37</v>
      </c>
      <c r="X100" s="35" t="s">
        <v>37</v>
      </c>
      <c r="Y100" s="35"/>
      <c r="Z100" s="35" t="s">
        <v>37</v>
      </c>
      <c r="AA100" s="35"/>
      <c r="AB100" s="35"/>
      <c r="AC100" s="35"/>
    </row>
    <row r="101" spans="1:29" ht="189">
      <c r="A101" s="36">
        <v>564</v>
      </c>
      <c r="B101" s="37" t="str">
        <f>HYPERLINK("\\intranet-fs4\市）地域振興部\14市民自治推進室\06  市民活動\◎助成・積立・取崩（基金）\00：起案：団体登録\団体情報一覧\団体概要書（更新ごと最新に）pdf\564_prof.pdf","一般社団法人　A-bank北海道")</f>
        <v>一般社団法人　A-bank北海道</v>
      </c>
      <c r="C101" s="32" t="s">
        <v>611</v>
      </c>
      <c r="D101" s="32" t="s">
        <v>257</v>
      </c>
      <c r="E101" s="33" t="str">
        <f>HYPERLINK("http://www.abankhokkaido.jp/","http://www.abankhokkaido.jp/")</f>
        <v>http://www.abankhokkaido.jp/</v>
      </c>
      <c r="F101" s="34" t="s">
        <v>431</v>
      </c>
      <c r="G101" s="34" t="s">
        <v>431</v>
      </c>
      <c r="H101" s="32" t="s">
        <v>612</v>
      </c>
      <c r="I101" s="32" t="s">
        <v>613</v>
      </c>
      <c r="J101" s="32" t="s">
        <v>614</v>
      </c>
      <c r="K101" s="35"/>
      <c r="L101" s="35" t="s">
        <v>37</v>
      </c>
      <c r="M101" s="35" t="s">
        <v>37</v>
      </c>
      <c r="N101" s="35"/>
      <c r="O101" s="35"/>
      <c r="P101" s="35" t="s">
        <v>37</v>
      </c>
      <c r="Q101" s="35"/>
      <c r="R101" s="35"/>
      <c r="S101" s="35"/>
      <c r="T101" s="35"/>
      <c r="U101" s="35"/>
      <c r="V101" s="35"/>
      <c r="W101" s="35" t="s">
        <v>37</v>
      </c>
      <c r="X101" s="35"/>
      <c r="Y101" s="35"/>
      <c r="Z101" s="35"/>
      <c r="AA101" s="35"/>
      <c r="AB101" s="35"/>
      <c r="AC101" s="35" t="s">
        <v>37</v>
      </c>
    </row>
    <row r="102" spans="1:29" ht="175.5">
      <c r="A102" s="36">
        <v>565</v>
      </c>
      <c r="B102" s="37" t="str">
        <f>HYPERLINK("\\intranet-fs4\市）地域振興部\14市民自治推進室\06  市民活動\◎助成・積立・取崩（基金）\00：起案：団体登録\団体情報一覧\団体概要書（更新ごと最新に）pdf\565_prof.pdf","特定非営利活動法人ぐるーぽ・ぴの")</f>
        <v>特定非営利活動法人ぐるーぽ・ぴの</v>
      </c>
      <c r="C102" s="32" t="s">
        <v>615</v>
      </c>
      <c r="D102" s="32" t="s">
        <v>616</v>
      </c>
      <c r="E102" s="33" t="str">
        <f>HYPERLINK("https://www.facebook.com/西野厨房だんらんぐるーぽぴの-447565002069967","https://www.facebook.com/西野厨房だんらんぐるーぽぴの-447565002069967")</f>
        <v>https://www.facebook.com/西野厨房だんらんぐるーぽぴの-447565002069967</v>
      </c>
      <c r="F102" s="34" t="s">
        <v>617</v>
      </c>
      <c r="G102" s="34" t="s">
        <v>617</v>
      </c>
      <c r="H102" s="32" t="s">
        <v>618</v>
      </c>
      <c r="I102" s="32" t="s">
        <v>619</v>
      </c>
      <c r="J102" s="32" t="s">
        <v>620</v>
      </c>
      <c r="K102" s="35" t="s">
        <v>37</v>
      </c>
      <c r="L102" s="35"/>
      <c r="M102" s="35" t="s">
        <v>37</v>
      </c>
      <c r="N102" s="35"/>
      <c r="O102" s="35"/>
      <c r="P102" s="35"/>
      <c r="Q102" s="35"/>
      <c r="R102" s="35"/>
      <c r="S102" s="35"/>
      <c r="T102" s="35"/>
      <c r="U102" s="35"/>
      <c r="V102" s="35"/>
      <c r="W102" s="35" t="s">
        <v>37</v>
      </c>
      <c r="X102" s="35"/>
      <c r="Y102" s="35"/>
      <c r="Z102" s="35"/>
      <c r="AA102" s="35"/>
      <c r="AB102" s="35"/>
      <c r="AC102" s="35"/>
    </row>
    <row r="103" spans="1:29" ht="67.5">
      <c r="A103" s="36">
        <v>566</v>
      </c>
      <c r="B103" s="37" t="str">
        <f>HYPERLINK("\\intranet-fs4\市）地域振興部\14市民自治推進室\06  市民活動\◎助成・積立・取崩（基金）\00：起案：団体登録\団体情報一覧\団体概要書（更新ごと最新に）pdf\566_prof.pdf","NPO法人わんハート　尊い命達と共に")</f>
        <v>NPO法人わんハート　尊い命達と共に</v>
      </c>
      <c r="C103" s="32" t="s">
        <v>621</v>
      </c>
      <c r="D103" s="32" t="s">
        <v>622</v>
      </c>
      <c r="E103" s="33" t="str">
        <f>HYPERLINK("https://wanheart.org/","https://wanheart.org/")</f>
        <v>https://wanheart.org/</v>
      </c>
      <c r="F103" s="34" t="s">
        <v>623</v>
      </c>
      <c r="G103" s="34" t="s">
        <v>623</v>
      </c>
      <c r="H103" s="32" t="s">
        <v>624</v>
      </c>
      <c r="I103" s="32" t="s">
        <v>625</v>
      </c>
      <c r="J103" s="32" t="s">
        <v>626</v>
      </c>
      <c r="K103" s="35"/>
      <c r="L103" s="35" t="s">
        <v>37</v>
      </c>
      <c r="M103" s="35"/>
      <c r="N103" s="35"/>
      <c r="O103" s="35"/>
      <c r="P103" s="35"/>
      <c r="Q103" s="35"/>
      <c r="R103" s="35"/>
      <c r="S103" s="35"/>
      <c r="T103" s="35"/>
      <c r="U103" s="35"/>
      <c r="V103" s="35"/>
      <c r="W103" s="35"/>
      <c r="X103" s="35"/>
      <c r="Y103" s="35"/>
      <c r="Z103" s="35"/>
      <c r="AA103" s="35"/>
      <c r="AB103" s="35"/>
      <c r="AC103" s="35"/>
    </row>
    <row r="104" spans="1:29" ht="243">
      <c r="A104" s="36">
        <v>569</v>
      </c>
      <c r="B104" s="37" t="str">
        <f>HYPERLINK("\\intranet-fs4\市）地域振興部\14市民自治推進室\06  市民活動\◎助成・積立・取崩（基金）\00：起案：団体登録\団体情報一覧\団体概要書（更新ごと最新に）pdf\569_prof.pdf","特定非営利活動法人みどりのオアシス・サポートクラブ")</f>
        <v>特定非営利活動法人みどりのオアシス・サポートクラブ</v>
      </c>
      <c r="C104" s="32" t="s">
        <v>627</v>
      </c>
      <c r="D104" s="32" t="s">
        <v>628</v>
      </c>
      <c r="E104" s="33" t="str">
        <f>HYPERLINK("http://npo.068.jp/","http://npo.068.jp/")</f>
        <v>http://npo.068.jp/</v>
      </c>
      <c r="F104" s="34" t="s">
        <v>629</v>
      </c>
      <c r="G104" s="34" t="s">
        <v>630</v>
      </c>
      <c r="H104" s="32" t="s">
        <v>631</v>
      </c>
      <c r="I104" s="32" t="s">
        <v>632</v>
      </c>
      <c r="J104" s="32" t="s">
        <v>633</v>
      </c>
      <c r="K104" s="35"/>
      <c r="L104" s="35" t="s">
        <v>37</v>
      </c>
      <c r="M104" s="35" t="s">
        <v>37</v>
      </c>
      <c r="N104" s="35"/>
      <c r="O104" s="35"/>
      <c r="P104" s="35"/>
      <c r="Q104" s="35" t="s">
        <v>37</v>
      </c>
      <c r="R104" s="35"/>
      <c r="S104" s="35"/>
      <c r="T104" s="35"/>
      <c r="U104" s="35"/>
      <c r="V104" s="35"/>
      <c r="W104" s="35" t="s">
        <v>37</v>
      </c>
      <c r="X104" s="35"/>
      <c r="Y104" s="35"/>
      <c r="Z104" s="35"/>
      <c r="AA104" s="35" t="s">
        <v>37</v>
      </c>
      <c r="AB104" s="35"/>
      <c r="AC104" s="35"/>
    </row>
    <row r="105" spans="1:29" ht="229.5">
      <c r="A105" s="36">
        <v>570</v>
      </c>
      <c r="B105" s="37" t="str">
        <f>HYPERLINK("\\intranet-fs4\市）地域振興部\14市民自治推進室\06  市民活動\◎助成・積立・取崩（基金）\00：起案：団体登録\団体情報一覧\団体概要書（更新ごと最新に）pdf\570_prof.pdf","ていねキママ食堂")</f>
        <v>ていねキママ食堂</v>
      </c>
      <c r="C105" s="32" t="s">
        <v>634</v>
      </c>
      <c r="D105" s="32" t="s">
        <v>635</v>
      </c>
      <c r="E105" s="33" t="str">
        <f>HYPERLINK("https://www.facebook.com/ていねキママ食堂-1305710392870049/","https://www.facebook.com/ていねキママ食堂-1305710392870049/")</f>
        <v>https://www.facebook.com/ていねキママ食堂-1305710392870049/</v>
      </c>
      <c r="F105" s="34" t="s">
        <v>591</v>
      </c>
      <c r="G105" s="34" t="s">
        <v>597</v>
      </c>
      <c r="H105" s="32" t="s">
        <v>636</v>
      </c>
      <c r="I105" s="32" t="s">
        <v>637</v>
      </c>
      <c r="J105" s="32" t="s">
        <v>638</v>
      </c>
      <c r="K105" s="35"/>
      <c r="L105" s="35"/>
      <c r="M105" s="35" t="s">
        <v>37</v>
      </c>
      <c r="N105" s="35"/>
      <c r="O105" s="35"/>
      <c r="P105" s="35"/>
      <c r="Q105" s="35"/>
      <c r="R105" s="35"/>
      <c r="S105" s="35"/>
      <c r="T105" s="35"/>
      <c r="U105" s="35"/>
      <c r="V105" s="35"/>
      <c r="W105" s="35" t="s">
        <v>37</v>
      </c>
      <c r="X105" s="35"/>
      <c r="Y105" s="35"/>
      <c r="Z105" s="35"/>
      <c r="AA105" s="35"/>
      <c r="AB105" s="35"/>
      <c r="AC105" s="35"/>
    </row>
    <row r="106" spans="1:29" ht="409.5">
      <c r="A106" s="36">
        <v>573</v>
      </c>
      <c r="B106" s="37" t="str">
        <f>HYPERLINK("\\intranet-fs4\市）地域振興部\14市民自治推進室\06  市民活動\◎助成・積立・取崩（基金）\00：起案：団体登録\団体情報一覧\団体概要書（更新ごと最新に）pdf\573_prof.pdf","子ども在宅ケアネットワーク")</f>
        <v>子ども在宅ケアネットワーク</v>
      </c>
      <c r="C106" s="32" t="s">
        <v>639</v>
      </c>
      <c r="D106" s="32" t="s">
        <v>498</v>
      </c>
      <c r="E106" s="33" t="str">
        <f>HYPERLINK("http://www.keijinkai.com/teine/kangobu/network/index.html","http://www.keijinkai.com/teine/kangobu/network/index.html")</f>
        <v>http://www.keijinkai.com/teine/kangobu/network/index.html</v>
      </c>
      <c r="F106" s="34" t="s">
        <v>640</v>
      </c>
      <c r="G106" s="34" t="s">
        <v>640</v>
      </c>
      <c r="H106" s="32" t="s">
        <v>641</v>
      </c>
      <c r="I106" s="32" t="s">
        <v>642</v>
      </c>
      <c r="J106" s="32" t="s">
        <v>643</v>
      </c>
      <c r="K106" s="35" t="s">
        <v>37</v>
      </c>
      <c r="L106" s="35"/>
      <c r="M106" s="35"/>
      <c r="N106" s="35"/>
      <c r="O106" s="35"/>
      <c r="P106" s="35"/>
      <c r="Q106" s="35"/>
      <c r="R106" s="35"/>
      <c r="S106" s="35"/>
      <c r="T106" s="35"/>
      <c r="U106" s="35"/>
      <c r="V106" s="35"/>
      <c r="W106" s="35" t="s">
        <v>37</v>
      </c>
      <c r="X106" s="35"/>
      <c r="Y106" s="35"/>
      <c r="Z106" s="35"/>
      <c r="AA106" s="35"/>
      <c r="AB106" s="35"/>
      <c r="AC106" s="35"/>
    </row>
    <row r="107" spans="1:29" ht="324">
      <c r="A107" s="36">
        <v>574</v>
      </c>
      <c r="B107" s="37" t="str">
        <f>HYPERLINK("\\intranet-fs4\市）地域振興部\14市民自治推進室\06  市民活動\◎助成・積立・取崩（基金）\00：起案：団体登録\団体情報一覧\団体概要書（更新ごと最新に）pdf\574_prof.pdf","特定非営利活動法人雪氷環境プロジェクト")</f>
        <v>特定非営利活動法人雪氷環境プロジェクト</v>
      </c>
      <c r="C107" s="32" t="s">
        <v>644</v>
      </c>
      <c r="D107" s="32" t="s">
        <v>79</v>
      </c>
      <c r="E107" s="33" t="str">
        <f>HYPERLINK("http://blog.canpan.info/seppyou_k/","http://blog.canpan.info/seppyou_k/")</f>
        <v>http://blog.canpan.info/seppyou_k/</v>
      </c>
      <c r="F107" s="34" t="s">
        <v>645</v>
      </c>
      <c r="G107" s="34" t="s">
        <v>646</v>
      </c>
      <c r="H107" s="32" t="s">
        <v>647</v>
      </c>
      <c r="I107" s="32" t="s">
        <v>648</v>
      </c>
      <c r="J107" s="32" t="s">
        <v>649</v>
      </c>
      <c r="K107" s="35"/>
      <c r="L107" s="35"/>
      <c r="M107" s="35" t="s">
        <v>37</v>
      </c>
      <c r="N107" s="35" t="s">
        <v>37</v>
      </c>
      <c r="O107" s="35" t="s">
        <v>37</v>
      </c>
      <c r="P107" s="35" t="s">
        <v>37</v>
      </c>
      <c r="Q107" s="35" t="s">
        <v>37</v>
      </c>
      <c r="R107" s="35" t="s">
        <v>37</v>
      </c>
      <c r="S107" s="35" t="s">
        <v>37</v>
      </c>
      <c r="T107" s="35"/>
      <c r="U107" s="35" t="s">
        <v>37</v>
      </c>
      <c r="V107" s="35"/>
      <c r="W107" s="35"/>
      <c r="X107" s="35"/>
      <c r="Y107" s="35" t="s">
        <v>37</v>
      </c>
      <c r="Z107" s="35" t="s">
        <v>37</v>
      </c>
      <c r="AA107" s="35"/>
      <c r="AB107" s="35"/>
      <c r="AC107" s="35" t="s">
        <v>37</v>
      </c>
    </row>
    <row r="108" spans="1:29" ht="270">
      <c r="A108" s="36">
        <v>578</v>
      </c>
      <c r="B108" s="37" t="str">
        <f>HYPERLINK("\\intranet-fs4\市）地域振興部\14市民自治推進室\06  市民活動\◎助成・積立・取崩（基金）\00：起案：団体登録\団体情報一覧\団体概要書（更新ごと最新に）pdf\578_prof.pdf","新琴似音楽祭実行委員会")</f>
        <v>新琴似音楽祭実行委員会</v>
      </c>
      <c r="C108" s="32" t="s">
        <v>650</v>
      </c>
      <c r="D108" s="32" t="s">
        <v>651</v>
      </c>
      <c r="E108" s="33" t="str">
        <f>HYPERLINK("http://sinonsai.web.fc2.com/index.html","http://sinonsai.web.fc2.com/index.html")</f>
        <v>http://sinonsai.web.fc2.com/index.html</v>
      </c>
      <c r="F108" s="34" t="s">
        <v>598</v>
      </c>
      <c r="G108" s="34" t="s">
        <v>493</v>
      </c>
      <c r="H108" s="32" t="s">
        <v>652</v>
      </c>
      <c r="I108" s="32" t="s">
        <v>653</v>
      </c>
      <c r="J108" s="32" t="s">
        <v>654</v>
      </c>
      <c r="K108" s="35"/>
      <c r="L108" s="35"/>
      <c r="M108" s="35" t="s">
        <v>37</v>
      </c>
      <c r="N108" s="35"/>
      <c r="O108" s="35"/>
      <c r="P108" s="35" t="s">
        <v>37</v>
      </c>
      <c r="Q108" s="35"/>
      <c r="R108" s="35"/>
      <c r="S108" s="35"/>
      <c r="T108" s="35"/>
      <c r="U108" s="35"/>
      <c r="V108" s="35"/>
      <c r="W108" s="35"/>
      <c r="X108" s="35"/>
      <c r="Y108" s="35"/>
      <c r="Z108" s="35" t="s">
        <v>37</v>
      </c>
      <c r="AA108" s="35"/>
      <c r="AB108" s="35"/>
      <c r="AC108" s="35" t="s">
        <v>37</v>
      </c>
    </row>
    <row r="109" spans="1:29" ht="162">
      <c r="A109" s="36">
        <v>579</v>
      </c>
      <c r="B109" s="37" t="str">
        <f>HYPERLINK("\\intranet-fs4\市）地域振興部\14市民自治推進室\06  市民活動\◎助成・積立・取崩（基金）\00：起案：団体登録\団体情報一覧\団体概要書（更新ごと最新に）pdf\579_prof.pdf","ちびぽっく")</f>
        <v>ちびぽっく</v>
      </c>
      <c r="C109" s="32" t="s">
        <v>655</v>
      </c>
      <c r="D109" s="32" t="s">
        <v>656</v>
      </c>
      <c r="E109" s="33" t="str">
        <f>HYPERLINK("https://premprem.jp/kids1/chibipoque/","https://premprem.jp/kids1/chibipoque/")</f>
        <v>https://premprem.jp/kids1/chibipoque/</v>
      </c>
      <c r="F109" s="34" t="s">
        <v>657</v>
      </c>
      <c r="G109" s="34" t="s">
        <v>658</v>
      </c>
      <c r="H109" s="32" t="s">
        <v>659</v>
      </c>
      <c r="I109" s="32" t="s">
        <v>660</v>
      </c>
      <c r="J109" s="32" t="s">
        <v>661</v>
      </c>
      <c r="K109" s="35"/>
      <c r="L109" s="35"/>
      <c r="M109" s="35"/>
      <c r="N109" s="35"/>
      <c r="O109" s="35"/>
      <c r="P109" s="35" t="s">
        <v>37</v>
      </c>
      <c r="Q109" s="35"/>
      <c r="R109" s="35"/>
      <c r="S109" s="35"/>
      <c r="T109" s="35"/>
      <c r="U109" s="35"/>
      <c r="V109" s="35"/>
      <c r="W109" s="35" t="s">
        <v>37</v>
      </c>
      <c r="X109" s="35"/>
      <c r="Y109" s="35"/>
      <c r="Z109" s="35"/>
      <c r="AA109" s="35"/>
      <c r="AB109" s="35"/>
      <c r="AC109" s="35"/>
    </row>
    <row r="110" spans="1:29" ht="189">
      <c r="A110" s="36">
        <v>580</v>
      </c>
      <c r="B110" s="37" t="str">
        <f>HYPERLINK("\\intranet-fs4\市）地域振興部\14市民自治推進室\06  市民活動\◎助成・積立・取崩（基金）\00：起案：団体登録\団体情報一覧\団体概要書（更新ごと最新に）pdf\580_prof.pdf","特定非営利活動法人子育て応援かざぐるま")</f>
        <v>特定非営利活動法人子育て応援かざぐるま</v>
      </c>
      <c r="C110" s="32" t="s">
        <v>662</v>
      </c>
      <c r="D110" s="32" t="s">
        <v>663</v>
      </c>
      <c r="E110" s="33" t="str">
        <f>HYPERLINK("http://kazaguruma.boo.jp/","http://kazaguruma.boo.jp/")</f>
        <v>http://kazaguruma.boo.jp/</v>
      </c>
      <c r="F110" s="34" t="s">
        <v>307</v>
      </c>
      <c r="G110" s="34" t="s">
        <v>307</v>
      </c>
      <c r="H110" s="32" t="s">
        <v>664</v>
      </c>
      <c r="I110" s="32" t="s">
        <v>665</v>
      </c>
      <c r="J110" s="32" t="s">
        <v>666</v>
      </c>
      <c r="K110" s="35" t="s">
        <v>37</v>
      </c>
      <c r="L110" s="35" t="s">
        <v>37</v>
      </c>
      <c r="M110" s="35" t="s">
        <v>37</v>
      </c>
      <c r="N110" s="35"/>
      <c r="O110" s="35"/>
      <c r="P110" s="35" t="s">
        <v>37</v>
      </c>
      <c r="Q110" s="35" t="s">
        <v>37</v>
      </c>
      <c r="R110" s="35"/>
      <c r="S110" s="35"/>
      <c r="T110" s="35"/>
      <c r="U110" s="35"/>
      <c r="V110" s="35" t="s">
        <v>37</v>
      </c>
      <c r="W110" s="35" t="s">
        <v>37</v>
      </c>
      <c r="X110" s="35"/>
      <c r="Y110" s="35"/>
      <c r="Z110" s="35"/>
      <c r="AA110" s="35" t="s">
        <v>37</v>
      </c>
      <c r="AB110" s="35"/>
      <c r="AC110" s="35" t="s">
        <v>37</v>
      </c>
    </row>
    <row r="111" spans="1:29" ht="81">
      <c r="A111" s="36">
        <v>581</v>
      </c>
      <c r="B111" s="37" t="str">
        <f>HYPERLINK("\\intranet-fs4\市）地域振興部\14市民自治推進室\06  市民活動\◎助成・積立・取崩（基金）\00：起案：団体登録\団体情報一覧\団体概要書（更新ごと最新に）pdf\581_prof.pdf","苗穂連合町内会")</f>
        <v>苗穂連合町内会</v>
      </c>
      <c r="C111" s="32" t="s">
        <v>667</v>
      </c>
      <c r="D111" s="32" t="s">
        <v>668</v>
      </c>
      <c r="E111" s="41"/>
      <c r="F111" s="34" t="s">
        <v>581</v>
      </c>
      <c r="G111" s="34" t="s">
        <v>581</v>
      </c>
      <c r="H111" s="32" t="s">
        <v>669</v>
      </c>
      <c r="I111" s="32" t="s">
        <v>670</v>
      </c>
      <c r="J111" s="32" t="s">
        <v>671</v>
      </c>
      <c r="K111" s="35" t="s">
        <v>37</v>
      </c>
      <c r="L111" s="35" t="s">
        <v>37</v>
      </c>
      <c r="M111" s="35" t="s">
        <v>37</v>
      </c>
      <c r="N111" s="35"/>
      <c r="O111" s="35"/>
      <c r="P111" s="35" t="s">
        <v>37</v>
      </c>
      <c r="Q111" s="35" t="s">
        <v>37</v>
      </c>
      <c r="R111" s="35" t="s">
        <v>37</v>
      </c>
      <c r="S111" s="35" t="s">
        <v>37</v>
      </c>
      <c r="T111" s="35"/>
      <c r="U111" s="35"/>
      <c r="V111" s="35"/>
      <c r="W111" s="35" t="s">
        <v>37</v>
      </c>
      <c r="X111" s="35"/>
      <c r="Y111" s="35"/>
      <c r="Z111" s="35"/>
      <c r="AA111" s="35"/>
      <c r="AB111" s="35"/>
      <c r="AC111" s="35"/>
    </row>
    <row r="112" spans="1:29" ht="121.5">
      <c r="A112" s="36">
        <v>583</v>
      </c>
      <c r="B112" s="37" t="str">
        <f>HYPERLINK("\\intranet-fs4\市）地域振興部\14市民自治推進室\06  市民活動\◎助成・積立・取崩（基金）\00：起案：団体登録\団体情報一覧\団体概要書（更新ごと最新に）pdf\583_prof.pdf","中央地区町内会連合会")</f>
        <v>中央地区町内会連合会</v>
      </c>
      <c r="C112" s="32" t="s">
        <v>672</v>
      </c>
      <c r="D112" s="32" t="s">
        <v>66</v>
      </c>
      <c r="E112" s="41"/>
      <c r="F112" s="34" t="s">
        <v>581</v>
      </c>
      <c r="G112" s="34" t="s">
        <v>581</v>
      </c>
      <c r="H112" s="32" t="s">
        <v>673</v>
      </c>
      <c r="I112" s="32" t="s">
        <v>674</v>
      </c>
      <c r="J112" s="32" t="s">
        <v>675</v>
      </c>
      <c r="K112" s="35"/>
      <c r="L112" s="35"/>
      <c r="M112" s="35" t="s">
        <v>37</v>
      </c>
      <c r="N112" s="35"/>
      <c r="O112" s="35"/>
      <c r="P112" s="35"/>
      <c r="Q112" s="35"/>
      <c r="R112" s="35"/>
      <c r="S112" s="35"/>
      <c r="T112" s="35"/>
      <c r="U112" s="35"/>
      <c r="V112" s="35"/>
      <c r="W112" s="35"/>
      <c r="X112" s="35"/>
      <c r="Y112" s="35"/>
      <c r="Z112" s="35"/>
      <c r="AA112" s="35"/>
      <c r="AB112" s="35"/>
      <c r="AC112" s="35"/>
    </row>
    <row r="113" spans="1:29" ht="175.5">
      <c r="A113" s="36">
        <v>586</v>
      </c>
      <c r="B113" s="37" t="str">
        <f>HYPERLINK("\\intranet-fs4\市）地域振興部\14市民自治推進室\06  市民活動\◎助成・積立・取崩（基金）\00：起案：団体登録\団体情報一覧\団体概要書（更新ごと最新に）pdf\586_prof.pdf","真駒内駅前のまちづくりを考える会")</f>
        <v>真駒内駅前のまちづくりを考える会</v>
      </c>
      <c r="C113" s="32" t="s">
        <v>676</v>
      </c>
      <c r="D113" s="32" t="s">
        <v>677</v>
      </c>
      <c r="E113" s="33" t="str">
        <f>HYPERLINK("https://www.facebook.com/makoekikai/","https://www.facebook.com/makoekikai/")</f>
        <v>https://www.facebook.com/makoekikai/</v>
      </c>
      <c r="F113" s="34" t="s">
        <v>678</v>
      </c>
      <c r="G113" s="34" t="s">
        <v>678</v>
      </c>
      <c r="H113" s="32" t="s">
        <v>679</v>
      </c>
      <c r="I113" s="32" t="s">
        <v>680</v>
      </c>
      <c r="J113" s="32" t="s">
        <v>681</v>
      </c>
      <c r="K113" s="35"/>
      <c r="L113" s="35"/>
      <c r="M113" s="35" t="s">
        <v>37</v>
      </c>
      <c r="N113" s="35" t="s">
        <v>37</v>
      </c>
      <c r="O113" s="35"/>
      <c r="P113" s="35" t="s">
        <v>37</v>
      </c>
      <c r="Q113" s="35" t="s">
        <v>37</v>
      </c>
      <c r="R113" s="35"/>
      <c r="S113" s="35"/>
      <c r="T113" s="35"/>
      <c r="U113" s="35"/>
      <c r="V113" s="35" t="s">
        <v>37</v>
      </c>
      <c r="W113" s="35" t="s">
        <v>37</v>
      </c>
      <c r="X113" s="35"/>
      <c r="Y113" s="35"/>
      <c r="Z113" s="35" t="s">
        <v>37</v>
      </c>
      <c r="AA113" s="35"/>
      <c r="AB113" s="35"/>
      <c r="AC113" s="35"/>
    </row>
    <row r="114" spans="1:29" ht="121.5">
      <c r="A114" s="36">
        <v>590</v>
      </c>
      <c r="B114" s="37" t="str">
        <f>HYPERLINK("\\intranet-fs4\市）地域振興部\14市民自治推進室\06  市民活動\◎助成・積立・取崩（基金）\00：起案：団体登録\団体情報一覧\団体概要書（更新ごと最新に）pdf\590_prof.pdf","N1モードグランプリ実行委員会")</f>
        <v>N1モードグランプリ実行委員会</v>
      </c>
      <c r="C114" s="32" t="s">
        <v>682</v>
      </c>
      <c r="D114" s="32" t="s">
        <v>39</v>
      </c>
      <c r="E114" s="33" t="str">
        <f>HYPERLINK("ndc-hokkaidou.comhttp://ndc-hokkaidou.com","ndc-hokkaidou.comhttp://ndc-hokkaidou.com")</f>
        <v>ndc-hokkaidou.comhttp://ndc-hokkaidou.com</v>
      </c>
      <c r="F114" s="34" t="s">
        <v>539</v>
      </c>
      <c r="G114" s="34" t="s">
        <v>377</v>
      </c>
      <c r="H114" s="32" t="s">
        <v>683</v>
      </c>
      <c r="I114" s="32" t="s">
        <v>684</v>
      </c>
      <c r="J114" s="32" t="s">
        <v>685</v>
      </c>
      <c r="K114" s="35"/>
      <c r="L114" s="35" t="s">
        <v>37</v>
      </c>
      <c r="M114" s="35"/>
      <c r="N114" s="35"/>
      <c r="O114" s="35"/>
      <c r="P114" s="35" t="s">
        <v>37</v>
      </c>
      <c r="Q114" s="35"/>
      <c r="R114" s="35"/>
      <c r="S114" s="35"/>
      <c r="T114" s="35"/>
      <c r="U114" s="35" t="s">
        <v>37</v>
      </c>
      <c r="V114" s="35"/>
      <c r="W114" s="35"/>
      <c r="X114" s="35"/>
      <c r="Y114" s="35"/>
      <c r="Z114" s="35"/>
      <c r="AA114" s="35"/>
      <c r="AB114" s="35"/>
      <c r="AC114" s="35"/>
    </row>
    <row r="115" spans="1:29" ht="94.5">
      <c r="A115" s="36">
        <v>592</v>
      </c>
      <c r="B115" s="37" t="str">
        <f>HYPERLINK("\\intranet-fs4\市）地域振興部\14市民自治推進室\06  市民活動\◎助成・積立・取崩（基金）\00：起案：団体登録\団体情報一覧\団体概要書（更新ごと最新に）pdf\592_prof.pdf","特定非営利活動法人　ソフトテニスインターナショナルサポート協会")</f>
        <v>特定非営利活動法人　ソフトテニスインターナショナルサポート協会</v>
      </c>
      <c r="C115" s="32" t="s">
        <v>686</v>
      </c>
      <c r="D115" s="32" t="s">
        <v>79</v>
      </c>
      <c r="E115" s="49"/>
      <c r="F115" s="34" t="s">
        <v>687</v>
      </c>
      <c r="G115" s="34" t="s">
        <v>687</v>
      </c>
      <c r="H115" s="32" t="s">
        <v>688</v>
      </c>
      <c r="I115" s="32" t="s">
        <v>689</v>
      </c>
      <c r="J115" s="32" t="s">
        <v>690</v>
      </c>
      <c r="K115" s="35"/>
      <c r="L115" s="35"/>
      <c r="M115" s="35" t="s">
        <v>37</v>
      </c>
      <c r="N115" s="35"/>
      <c r="O115" s="35"/>
      <c r="P115" s="35" t="s">
        <v>37</v>
      </c>
      <c r="Q115" s="35"/>
      <c r="R115" s="35"/>
      <c r="S115" s="35"/>
      <c r="T115" s="35" t="s">
        <v>37</v>
      </c>
      <c r="U115" s="35" t="s">
        <v>37</v>
      </c>
      <c r="V115" s="35"/>
      <c r="W115" s="35" t="s">
        <v>37</v>
      </c>
      <c r="X115" s="35"/>
      <c r="Y115" s="35"/>
      <c r="Z115" s="35"/>
      <c r="AA115" s="35"/>
      <c r="AB115" s="35"/>
      <c r="AC115" s="35"/>
    </row>
    <row r="116" spans="1:29" ht="351">
      <c r="A116" s="36">
        <v>593</v>
      </c>
      <c r="B116" s="37" t="str">
        <f>HYPERLINK("\\intranet-fs4\市）地域振興部\14市民自治推進室\06  市民活動\◎助成・積立・取崩（基金）\00：起案：団体登録\団体情報一覧\団体概要書（更新ごと最新に）pdf\593_prof.pdf","特定非営利活動法人　道産子ヒーロープロジェクト")</f>
        <v>特定非営利活動法人　道産子ヒーロープロジェクト</v>
      </c>
      <c r="C116" s="32" t="s">
        <v>691</v>
      </c>
      <c r="D116" s="32" t="s">
        <v>79</v>
      </c>
      <c r="E116" s="38" t="str">
        <f>HYPERLINK("http://www.tam-p.jp/sohrandragon/","http://www.tam-p.jp/sohrandragon/")</f>
        <v>http://www.tam-p.jp/sohrandragon/</v>
      </c>
      <c r="F116" s="34" t="s">
        <v>591</v>
      </c>
      <c r="G116" s="34" t="s">
        <v>591</v>
      </c>
      <c r="H116" s="32" t="s">
        <v>692</v>
      </c>
      <c r="I116" s="32" t="s">
        <v>693</v>
      </c>
      <c r="J116" s="32" t="s">
        <v>694</v>
      </c>
      <c r="K116" s="35"/>
      <c r="L116" s="35" t="s">
        <v>37</v>
      </c>
      <c r="M116" s="35" t="s">
        <v>37</v>
      </c>
      <c r="N116" s="35" t="s">
        <v>37</v>
      </c>
      <c r="O116" s="35"/>
      <c r="P116" s="35" t="s">
        <v>37</v>
      </c>
      <c r="Q116" s="35" t="s">
        <v>37</v>
      </c>
      <c r="R116" s="35" t="s">
        <v>37</v>
      </c>
      <c r="S116" s="35" t="s">
        <v>37</v>
      </c>
      <c r="T116" s="35" t="s">
        <v>37</v>
      </c>
      <c r="U116" s="35" t="s">
        <v>37</v>
      </c>
      <c r="V116" s="35" t="s">
        <v>37</v>
      </c>
      <c r="W116" s="35" t="s">
        <v>37</v>
      </c>
      <c r="X116" s="35"/>
      <c r="Y116" s="35"/>
      <c r="Z116" s="35"/>
      <c r="AA116" s="35"/>
      <c r="AB116" s="35"/>
      <c r="AC116" s="35"/>
    </row>
    <row r="117" spans="1:29" ht="175.5">
      <c r="A117" s="36">
        <v>594</v>
      </c>
      <c r="B117" s="37" t="str">
        <f>HYPERLINK("\\intranet-fs4\市）地域振興部\14市民自治推進室\06  市民活動\◎助成・積立・取崩（基金）\00：起案：団体登録\団体情報一覧\団体概要書（更新ごと最新に）pdf\594_prof.pdf","特定非営利活動法人　子どもサポートどろんこクラブ")</f>
        <v>特定非営利活動法人　子どもサポートどろんこクラブ</v>
      </c>
      <c r="C117" s="32" t="s">
        <v>695</v>
      </c>
      <c r="D117" s="32" t="s">
        <v>79</v>
      </c>
      <c r="E117" s="33" t="str">
        <f>HYPERLINK("http://doronko-club.or.jp/","http://doronko-club.or.jp/")</f>
        <v>http://doronko-club.or.jp/</v>
      </c>
      <c r="F117" s="34" t="s">
        <v>137</v>
      </c>
      <c r="G117" s="34" t="s">
        <v>383</v>
      </c>
      <c r="H117" s="32" t="s">
        <v>696</v>
      </c>
      <c r="I117" s="32" t="s">
        <v>697</v>
      </c>
      <c r="J117" s="32" t="s">
        <v>698</v>
      </c>
      <c r="K117" s="35" t="s">
        <v>37</v>
      </c>
      <c r="L117" s="35" t="s">
        <v>37</v>
      </c>
      <c r="M117" s="35"/>
      <c r="N117" s="35"/>
      <c r="O117" s="35"/>
      <c r="P117" s="35" t="s">
        <v>37</v>
      </c>
      <c r="Q117" s="35"/>
      <c r="R117" s="35"/>
      <c r="S117" s="35"/>
      <c r="T117" s="35"/>
      <c r="U117" s="35"/>
      <c r="V117" s="35"/>
      <c r="W117" s="35" t="s">
        <v>37</v>
      </c>
      <c r="X117" s="35"/>
      <c r="Y117" s="35"/>
      <c r="Z117" s="35"/>
      <c r="AA117" s="35"/>
      <c r="AB117" s="35"/>
      <c r="AC117" s="35"/>
    </row>
    <row r="118" spans="1:29" ht="162">
      <c r="A118" s="36">
        <v>597</v>
      </c>
      <c r="B118" s="37" t="str">
        <f>HYPERLINK("\\intranet-fs4\市）地域振興部\14市民自治推進室\06  市民活動\◎助成・積立・取崩（基金）\00：起案：団体登録\団体情報一覧\団体概要書（更新ごと最新に）pdf\597_prof.pdf","特定非営利活動法人　みつばちの小さな喫茶店")</f>
        <v>特定非営利活動法人　みつばちの小さな喫茶店</v>
      </c>
      <c r="C118" s="32" t="s">
        <v>699</v>
      </c>
      <c r="D118" s="32" t="s">
        <v>700</v>
      </c>
      <c r="E118" s="33" t="str">
        <f>HYPERLINK("http://blogs.yahoo.co.jp/mitubachismallcafe","http://blogs.yahoo.co.jp/mitubachismallcafe")</f>
        <v>http://blogs.yahoo.co.jp/mitubachismallcafe</v>
      </c>
      <c r="F118" s="34" t="s">
        <v>701</v>
      </c>
      <c r="G118" s="34" t="s">
        <v>701</v>
      </c>
      <c r="H118" s="32" t="s">
        <v>702</v>
      </c>
      <c r="I118" s="32" t="s">
        <v>703</v>
      </c>
      <c r="J118" s="32" t="s">
        <v>704</v>
      </c>
      <c r="K118" s="35" t="s">
        <v>37</v>
      </c>
      <c r="L118" s="35"/>
      <c r="M118" s="35"/>
      <c r="N118" s="35" t="s">
        <v>37</v>
      </c>
      <c r="O118" s="35"/>
      <c r="P118" s="35"/>
      <c r="Q118" s="35"/>
      <c r="R118" s="35"/>
      <c r="S118" s="35"/>
      <c r="T118" s="35" t="s">
        <v>37</v>
      </c>
      <c r="U118" s="35"/>
      <c r="V118" s="35"/>
      <c r="W118" s="35" t="s">
        <v>37</v>
      </c>
      <c r="X118" s="35" t="s">
        <v>37</v>
      </c>
      <c r="Y118" s="35"/>
      <c r="Z118" s="35"/>
      <c r="AA118" s="35"/>
      <c r="AB118" s="35" t="s">
        <v>37</v>
      </c>
      <c r="AC118" s="35" t="s">
        <v>37</v>
      </c>
    </row>
    <row r="119" spans="1:29" ht="135">
      <c r="A119" s="42">
        <v>598</v>
      </c>
      <c r="B119" s="37" t="str">
        <f>HYPERLINK("\\intranet-fs4\市）地域振興部\14市民自治推進室\06  市民活動\◎助成・積立・取崩（基金）\00：起案：団体登録\団体情報一覧\団体概要書（更新ごと最新に）pdf\598_prof.pdf","アマチュアバンドコミュニティさっぽろ")</f>
        <v>アマチュアバンドコミュニティさっぽろ</v>
      </c>
      <c r="C119" s="32" t="s">
        <v>705</v>
      </c>
      <c r="D119" s="32" t="s">
        <v>115</v>
      </c>
      <c r="E119" s="38" t="str">
        <f>HYPERLINK("http://abcsapporo.web.fc2.com/","http://abcsapporo.web.fc2.com/")</f>
        <v>http://abcsapporo.web.fc2.com/</v>
      </c>
      <c r="F119" s="34" t="s">
        <v>706</v>
      </c>
      <c r="G119" s="34" t="s">
        <v>706</v>
      </c>
      <c r="H119" s="32" t="s">
        <v>707</v>
      </c>
      <c r="I119" s="32" t="s">
        <v>708</v>
      </c>
      <c r="J119" s="32" t="s">
        <v>709</v>
      </c>
      <c r="K119" s="35"/>
      <c r="L119" s="35"/>
      <c r="M119" s="35" t="s">
        <v>37</v>
      </c>
      <c r="N119" s="35"/>
      <c r="O119" s="35"/>
      <c r="P119" s="35" t="s">
        <v>37</v>
      </c>
      <c r="Q119" s="35"/>
      <c r="R119" s="35"/>
      <c r="S119" s="35"/>
      <c r="T119" s="35"/>
      <c r="U119" s="35"/>
      <c r="V119" s="35"/>
      <c r="W119" s="35"/>
      <c r="X119" s="35"/>
      <c r="Y119" s="35"/>
      <c r="Z119" s="35"/>
      <c r="AA119" s="35"/>
      <c r="AB119" s="35"/>
      <c r="AC119" s="35"/>
    </row>
    <row r="120" spans="1:29" ht="202.5">
      <c r="A120" s="36">
        <v>599</v>
      </c>
      <c r="B120" s="37" t="str">
        <f>HYPERLINK("\\intranet-fs4\市）地域振興部\14市民自治推進室\06  市民活動\◎助成・積立・取崩（基金）\00：起案：団体登録\団体情報一覧\団体概要書（更新ごと最新に）pdf\599_prof.pdf","札幌市学童保育連絡協議会")</f>
        <v>札幌市学童保育連絡協議会</v>
      </c>
      <c r="C120" s="32" t="s">
        <v>710</v>
      </c>
      <c r="D120" s="32" t="s">
        <v>115</v>
      </c>
      <c r="E120" s="33" t="str">
        <f>HYPERLINK("http://sapporo-gakudo.org/","http://sapporo-gakudo.org/")</f>
        <v>http://sapporo-gakudo.org/</v>
      </c>
      <c r="F120" s="34" t="s">
        <v>711</v>
      </c>
      <c r="G120" s="34" t="s">
        <v>711</v>
      </c>
      <c r="H120" s="32" t="s">
        <v>712</v>
      </c>
      <c r="I120" s="32" t="s">
        <v>713</v>
      </c>
      <c r="J120" s="32" t="s">
        <v>714</v>
      </c>
      <c r="K120" s="35"/>
      <c r="L120" s="35"/>
      <c r="M120" s="35" t="s">
        <v>37</v>
      </c>
      <c r="N120" s="35"/>
      <c r="O120" s="35"/>
      <c r="P120" s="35"/>
      <c r="Q120" s="35"/>
      <c r="R120" s="35"/>
      <c r="S120" s="35"/>
      <c r="T120" s="35" t="s">
        <v>37</v>
      </c>
      <c r="U120" s="35"/>
      <c r="V120" s="35" t="s">
        <v>37</v>
      </c>
      <c r="W120" s="35" t="s">
        <v>37</v>
      </c>
      <c r="X120" s="35"/>
      <c r="Y120" s="35"/>
      <c r="Z120" s="35"/>
      <c r="AA120" s="35"/>
      <c r="AB120" s="35"/>
      <c r="AC120" s="35"/>
    </row>
    <row r="121" spans="1:29" ht="81">
      <c r="A121" s="36">
        <v>601</v>
      </c>
      <c r="B121" s="37" t="str">
        <f>HYPERLINK("\\intranet-fs4\市）地域振興部\14市民自治推進室\06  市民活動\◎助成・積立・取崩（基金）\00：起案：団体登録\団体情報一覧\団体概要書（更新ごと最新に）pdf\601_prof.pdf","劇団　風蝕異人街")</f>
        <v>劇団　風蝕異人街</v>
      </c>
      <c r="C121" s="32" t="s">
        <v>715</v>
      </c>
      <c r="D121" s="32" t="s">
        <v>257</v>
      </c>
      <c r="E121" s="33" t="str">
        <f>HYPERLINK("https://fushokuijingai.wixsite.com/fushoku","https://fushokuijingai.wixsite.com/fushoku")</f>
        <v>https://fushokuijingai.wixsite.com/fushoku</v>
      </c>
      <c r="F121" s="34" t="s">
        <v>716</v>
      </c>
      <c r="G121" s="34" t="s">
        <v>716</v>
      </c>
      <c r="H121" s="32" t="s">
        <v>717</v>
      </c>
      <c r="I121" s="32" t="s">
        <v>718</v>
      </c>
      <c r="J121" s="32" t="s">
        <v>719</v>
      </c>
      <c r="K121" s="35"/>
      <c r="L121" s="35"/>
      <c r="M121" s="35"/>
      <c r="N121" s="35"/>
      <c r="O121" s="35"/>
      <c r="P121" s="35" t="s">
        <v>37</v>
      </c>
      <c r="Q121" s="35"/>
      <c r="R121" s="35"/>
      <c r="S121" s="35"/>
      <c r="T121" s="35"/>
      <c r="U121" s="35"/>
      <c r="V121" s="35"/>
      <c r="W121" s="35"/>
      <c r="X121" s="35"/>
      <c r="Y121" s="35"/>
      <c r="Z121" s="35"/>
      <c r="AA121" s="35"/>
      <c r="AB121" s="35"/>
      <c r="AC121" s="35"/>
    </row>
    <row r="122" spans="1:29" ht="148.5">
      <c r="A122" s="36">
        <v>602</v>
      </c>
      <c r="B122" s="37" t="str">
        <f>HYPERLINK("\\intranet-fs4\市）地域振興部\14市民自治推進室\06  市民活動\◎助成・積立・取崩（基金）\00：起案：団体登録\団体情報一覧\団体概要書（更新ごと最新に）pdf\602_prof.pdf","札幌キノコの会")</f>
        <v>札幌キノコの会</v>
      </c>
      <c r="C122" s="32" t="s">
        <v>720</v>
      </c>
      <c r="D122" s="32" t="s">
        <v>721</v>
      </c>
      <c r="E122" s="33" t="str">
        <f>HYPERLINK("http://Ｓapporo-kinokonokai.com/","http://Ｓapporo-kinokonokai.com/")</f>
        <v>http://Ｓapporo-kinokonokai.com/</v>
      </c>
      <c r="F122" s="34" t="s">
        <v>722</v>
      </c>
      <c r="G122" s="34" t="s">
        <v>722</v>
      </c>
      <c r="H122" s="32" t="s">
        <v>723</v>
      </c>
      <c r="I122" s="32" t="s">
        <v>724</v>
      </c>
      <c r="J122" s="32" t="s">
        <v>725</v>
      </c>
      <c r="K122" s="35" t="s">
        <v>37</v>
      </c>
      <c r="L122" s="35" t="s">
        <v>37</v>
      </c>
      <c r="M122" s="35"/>
      <c r="N122" s="35"/>
      <c r="O122" s="35"/>
      <c r="P122" s="35"/>
      <c r="Q122" s="35" t="s">
        <v>37</v>
      </c>
      <c r="R122" s="35"/>
      <c r="S122" s="35"/>
      <c r="T122" s="35"/>
      <c r="U122" s="35"/>
      <c r="V122" s="35"/>
      <c r="W122" s="35" t="s">
        <v>37</v>
      </c>
      <c r="X122" s="35"/>
      <c r="Y122" s="35"/>
      <c r="Z122" s="35"/>
      <c r="AA122" s="35"/>
      <c r="AB122" s="35"/>
      <c r="AC122" s="35" t="s">
        <v>37</v>
      </c>
    </row>
    <row r="123" spans="1:29" ht="135">
      <c r="A123" s="36">
        <v>604</v>
      </c>
      <c r="B123" s="37" t="str">
        <f>HYPERLINK("\\intranet-fs4\市）地域振興部\14市民自治推進室\06  市民活動\◎助成・積立・取崩（基金）\00：起案：団体登録\団体情報一覧\団体概要書（更新ごと最新に）pdf\604_prof.pdf","特定非営利活動法人ＳＥＭＩさっぽろ")</f>
        <v>特定非営利活動法人ＳＥＭＩさっぽろ</v>
      </c>
      <c r="C123" s="32" t="s">
        <v>726</v>
      </c>
      <c r="D123" s="32" t="s">
        <v>628</v>
      </c>
      <c r="E123" s="33" t="str">
        <f>HYPERLINK("http://semi-sapporo.com/","http://semi-sapporo.com/")</f>
        <v>http://semi-sapporo.com/</v>
      </c>
      <c r="F123" s="34" t="s">
        <v>727</v>
      </c>
      <c r="G123" s="34" t="s">
        <v>728</v>
      </c>
      <c r="H123" s="32" t="s">
        <v>729</v>
      </c>
      <c r="I123" s="32" t="s">
        <v>730</v>
      </c>
      <c r="J123" s="32" t="s">
        <v>731</v>
      </c>
      <c r="K123" s="35" t="s">
        <v>37</v>
      </c>
      <c r="L123" s="35"/>
      <c r="M123" s="35"/>
      <c r="N123" s="35"/>
      <c r="O123" s="35"/>
      <c r="P123" s="35"/>
      <c r="Q123" s="35"/>
      <c r="R123" s="35"/>
      <c r="S123" s="35"/>
      <c r="T123" s="35" t="s">
        <v>37</v>
      </c>
      <c r="U123" s="35" t="s">
        <v>37</v>
      </c>
      <c r="V123" s="35"/>
      <c r="W123" s="35" t="s">
        <v>37</v>
      </c>
      <c r="X123" s="35" t="s">
        <v>37</v>
      </c>
      <c r="Y123" s="35"/>
      <c r="Z123" s="35"/>
      <c r="AA123" s="35"/>
      <c r="AB123" s="35"/>
      <c r="AC123" s="35" t="s">
        <v>37</v>
      </c>
    </row>
    <row r="124" spans="1:29" ht="135">
      <c r="A124" s="36">
        <v>605</v>
      </c>
      <c r="B124" s="37" t="str">
        <f>HYPERLINK("\\intranet-fs4\市）地域振興部\14市民自治推進室\06  市民活動\◎助成・積立・取崩（基金）\00：起案：団体登録\団体情報一覧\団体概要書（更新ごと最新に）pdf\605_prof.pdf","特定非営利活動法人女性サポートAsyl")</f>
        <v>特定非営利活動法人女性サポートAsyl</v>
      </c>
      <c r="C124" s="32" t="s">
        <v>732</v>
      </c>
      <c r="D124" s="32" t="s">
        <v>115</v>
      </c>
      <c r="E124" s="33" t="str">
        <f>HYPERLINK("https://www.asyl-chan.com/","https://www.asyl-chan.com/")</f>
        <v>https://www.asyl-chan.com/</v>
      </c>
      <c r="F124" s="34" t="s">
        <v>733</v>
      </c>
      <c r="G124" s="34" t="s">
        <v>598</v>
      </c>
      <c r="H124" s="32" t="s">
        <v>734</v>
      </c>
      <c r="I124" s="32" t="s">
        <v>735</v>
      </c>
      <c r="J124" s="32" t="s">
        <v>736</v>
      </c>
      <c r="K124" s="35" t="s">
        <v>37</v>
      </c>
      <c r="L124" s="35" t="s">
        <v>37</v>
      </c>
      <c r="M124" s="35" t="s">
        <v>37</v>
      </c>
      <c r="N124" s="35"/>
      <c r="O124" s="35"/>
      <c r="P124" s="35"/>
      <c r="Q124" s="35"/>
      <c r="R124" s="35"/>
      <c r="S124" s="35"/>
      <c r="T124" s="35" t="s">
        <v>37</v>
      </c>
      <c r="U124" s="35"/>
      <c r="V124" s="35" t="s">
        <v>37</v>
      </c>
      <c r="W124" s="35" t="s">
        <v>37</v>
      </c>
      <c r="X124" s="35"/>
      <c r="Y124" s="35"/>
      <c r="Z124" s="35"/>
      <c r="AA124" s="35" t="s">
        <v>37</v>
      </c>
      <c r="AB124" s="35"/>
      <c r="AC124" s="35" t="s">
        <v>37</v>
      </c>
    </row>
    <row r="125" spans="1:29" ht="409.5">
      <c r="A125" s="36">
        <v>606</v>
      </c>
      <c r="B125" s="37" t="str">
        <f>HYPERLINK("\\intranet-fs4\市）地域振興部\14市民自治推進室\06  市民活動\◎助成・積立・取崩（基金）\00：起案：団体登録\団体情報一覧\団体概要書（更新ごと最新に）pdf\606_prof.pdf","さっぽろアートボランティア・ネットワーク（V-net）")</f>
        <v>さっぽろアートボランティア・ネットワーク（V-net）</v>
      </c>
      <c r="C125" s="32" t="s">
        <v>737</v>
      </c>
      <c r="D125" s="32" t="s">
        <v>257</v>
      </c>
      <c r="E125" s="33" t="str">
        <f>HYPERLINK("https://www.facebook.com/groups/283059468961546/","https://www.facebook.com/groups/283059468961546/")</f>
        <v>https://www.facebook.com/groups/283059468961546/</v>
      </c>
      <c r="F125" s="34" t="s">
        <v>738</v>
      </c>
      <c r="G125" s="34" t="s">
        <v>630</v>
      </c>
      <c r="H125" s="32" t="s">
        <v>739</v>
      </c>
      <c r="I125" s="32" t="s">
        <v>740</v>
      </c>
      <c r="J125" s="32" t="s">
        <v>741</v>
      </c>
      <c r="K125" s="35"/>
      <c r="L125" s="35"/>
      <c r="M125" s="35" t="s">
        <v>37</v>
      </c>
      <c r="N125" s="35"/>
      <c r="O125" s="35"/>
      <c r="P125" s="35" t="s">
        <v>37</v>
      </c>
      <c r="Q125" s="35"/>
      <c r="R125" s="35"/>
      <c r="S125" s="35"/>
      <c r="T125" s="35"/>
      <c r="U125" s="35"/>
      <c r="V125" s="35"/>
      <c r="W125" s="35"/>
      <c r="X125" s="35"/>
      <c r="Y125" s="35"/>
      <c r="Z125" s="35"/>
      <c r="AA125" s="35"/>
      <c r="AB125" s="35"/>
      <c r="AC125" s="35"/>
    </row>
    <row r="126" spans="1:29" ht="148.5">
      <c r="A126" s="36">
        <v>608</v>
      </c>
      <c r="B126" s="37" t="str">
        <f>HYPERLINK("\\intranet-fs4\市）地域振興部\14市民自治推進室\06  市民活動\◎助成・積立・取崩（基金）\00：起案：団体登録\団体情報一覧\団体概要書（更新ごと最新に）pdf\608_prof.pdf","北海道文化団体協議会")</f>
        <v>北海道文化団体協議会</v>
      </c>
      <c r="C126" s="32" t="s">
        <v>742</v>
      </c>
      <c r="D126" s="32" t="s">
        <v>743</v>
      </c>
      <c r="E126" s="41"/>
      <c r="F126" s="34" t="s">
        <v>744</v>
      </c>
      <c r="G126" s="34" t="s">
        <v>744</v>
      </c>
      <c r="H126" s="32" t="s">
        <v>745</v>
      </c>
      <c r="I126" s="32" t="s">
        <v>746</v>
      </c>
      <c r="J126" s="32" t="s">
        <v>747</v>
      </c>
      <c r="K126" s="35"/>
      <c r="L126" s="35" t="s">
        <v>37</v>
      </c>
      <c r="M126" s="35" t="s">
        <v>37</v>
      </c>
      <c r="N126" s="35"/>
      <c r="O126" s="35" t="s">
        <v>37</v>
      </c>
      <c r="P126" s="35" t="s">
        <v>37</v>
      </c>
      <c r="Q126" s="35"/>
      <c r="R126" s="35"/>
      <c r="S126" s="35"/>
      <c r="T126" s="35"/>
      <c r="U126" s="35" t="s">
        <v>37</v>
      </c>
      <c r="V126" s="35"/>
      <c r="W126" s="35" t="s">
        <v>37</v>
      </c>
      <c r="X126" s="35"/>
      <c r="Y126" s="35"/>
      <c r="Z126" s="35"/>
      <c r="AA126" s="35"/>
      <c r="AB126" s="35"/>
      <c r="AC126" s="35" t="s">
        <v>37</v>
      </c>
    </row>
    <row r="127" spans="1:29" ht="175.5">
      <c r="A127" s="36">
        <v>610</v>
      </c>
      <c r="B127" s="37" t="str">
        <f>HYPERLINK("\\intranet-fs4\市）地域振興部\14市民自治推進室\06  市民活動\◎助成・積立・取崩（基金）\00：起案：団体登録\団体情報一覧\団体概要書（更新ごと最新に）pdf\610_prof.pdf","一般社団法人　北海道二期会")</f>
        <v>一般社団法人　北海道二期会</v>
      </c>
      <c r="C127" s="32" t="s">
        <v>748</v>
      </c>
      <c r="D127" s="32" t="s">
        <v>79</v>
      </c>
      <c r="E127" s="33" t="str">
        <f>HYPERLINK("http://www.hokkaido-nikikai.com/","http://www.hokkaido-nikikai.com/")</f>
        <v>http://www.hokkaido-nikikai.com/</v>
      </c>
      <c r="F127" s="34" t="s">
        <v>701</v>
      </c>
      <c r="G127" s="34" t="s">
        <v>678</v>
      </c>
      <c r="H127" s="32" t="s">
        <v>749</v>
      </c>
      <c r="I127" s="32" t="s">
        <v>750</v>
      </c>
      <c r="J127" s="32" t="s">
        <v>751</v>
      </c>
      <c r="K127" s="35"/>
      <c r="L127" s="35" t="s">
        <v>37</v>
      </c>
      <c r="M127" s="35"/>
      <c r="N127" s="35"/>
      <c r="O127" s="35"/>
      <c r="P127" s="35" t="s">
        <v>37</v>
      </c>
      <c r="Q127" s="35"/>
      <c r="R127" s="35"/>
      <c r="S127" s="35"/>
      <c r="T127" s="35"/>
      <c r="U127" s="35"/>
      <c r="V127" s="35"/>
      <c r="W127" s="35"/>
      <c r="X127" s="35"/>
      <c r="Y127" s="35"/>
      <c r="Z127" s="35"/>
      <c r="AA127" s="35"/>
      <c r="AB127" s="35"/>
      <c r="AC127" s="35"/>
    </row>
    <row r="128" spans="1:29" ht="108">
      <c r="A128" s="36">
        <v>612</v>
      </c>
      <c r="B128" s="37" t="str">
        <f>HYPERLINK("\\intranet-fs4\市）地域振興部\14市民自治推進室\06  市民活動\◎助成・積立・取崩（基金）\00：起案：団体登録\団体情報一覧\団体概要書（更新ごと最新に）pdf\612_prof.pdf","札幌まるやま自然学校")</f>
        <v>札幌まるやま自然学校</v>
      </c>
      <c r="C128" s="32" t="s">
        <v>752</v>
      </c>
      <c r="D128" s="32" t="s">
        <v>753</v>
      </c>
      <c r="E128" s="33" t="str">
        <f>HYPERLINK("https://maruyama-ns.jimdo.com/","https://maruyama-ns.jimdo.com/")</f>
        <v>https://maruyama-ns.jimdo.com/</v>
      </c>
      <c r="F128" s="34" t="s">
        <v>563</v>
      </c>
      <c r="G128" s="34" t="s">
        <v>558</v>
      </c>
      <c r="H128" s="32" t="s">
        <v>754</v>
      </c>
      <c r="I128" s="32" t="s">
        <v>755</v>
      </c>
      <c r="J128" s="32" t="s">
        <v>756</v>
      </c>
      <c r="K128" s="35"/>
      <c r="L128" s="35"/>
      <c r="M128" s="35"/>
      <c r="N128" s="35"/>
      <c r="O128" s="35"/>
      <c r="P128" s="35"/>
      <c r="Q128" s="35"/>
      <c r="R128" s="35"/>
      <c r="S128" s="35"/>
      <c r="T128" s="35"/>
      <c r="U128" s="35"/>
      <c r="V128" s="35"/>
      <c r="W128" s="35" t="s">
        <v>37</v>
      </c>
      <c r="X128" s="35"/>
      <c r="Y128" s="35"/>
      <c r="Z128" s="35"/>
      <c r="AA128" s="35"/>
      <c r="AB128" s="35"/>
      <c r="AC128" s="35"/>
    </row>
    <row r="129" spans="1:29" ht="81">
      <c r="A129" s="36">
        <v>614</v>
      </c>
      <c r="B129" s="37" t="str">
        <f>HYPERLINK("\\intranet-fs4\市）地域振興部\14市民自治推進室\06  市民活動\◎助成・積立・取崩（基金）\00：起案：団体登録\団体情報一覧\団体概要書（更新ごと最新に）pdf\614_prof.pdf","特定非営利活動法人あかはなスマイルキッズ")</f>
        <v>特定非営利活動法人あかはなスマイルキッズ</v>
      </c>
      <c r="C129" s="32" t="s">
        <v>757</v>
      </c>
      <c r="D129" s="32" t="s">
        <v>758</v>
      </c>
      <c r="E129" s="48"/>
      <c r="F129" s="34" t="s">
        <v>558</v>
      </c>
      <c r="G129" s="34" t="s">
        <v>759</v>
      </c>
      <c r="H129" s="32" t="s">
        <v>760</v>
      </c>
      <c r="I129" s="32" t="s">
        <v>761</v>
      </c>
      <c r="J129" s="32" t="s">
        <v>762</v>
      </c>
      <c r="K129" s="35" t="s">
        <v>37</v>
      </c>
      <c r="L129" s="35" t="s">
        <v>37</v>
      </c>
      <c r="M129" s="35" t="s">
        <v>37</v>
      </c>
      <c r="N129" s="35"/>
      <c r="O129" s="35"/>
      <c r="P129" s="35" t="s">
        <v>37</v>
      </c>
      <c r="Q129" s="35"/>
      <c r="R129" s="35"/>
      <c r="S129" s="35" t="s">
        <v>37</v>
      </c>
      <c r="T129" s="35"/>
      <c r="U129" s="35"/>
      <c r="V129" s="35"/>
      <c r="W129" s="35" t="s">
        <v>37</v>
      </c>
      <c r="X129" s="35"/>
      <c r="Y129" s="35" t="s">
        <v>37</v>
      </c>
      <c r="Z129" s="35"/>
      <c r="AA129" s="35"/>
      <c r="AB129" s="35"/>
      <c r="AC129" s="35" t="s">
        <v>37</v>
      </c>
    </row>
    <row r="130" spans="1:29" ht="121.5">
      <c r="A130" s="36">
        <v>615</v>
      </c>
      <c r="B130" s="37" t="str">
        <f>HYPERLINK("\\intranet-fs4\市）地域振興部\14市民自治推進室\06  市民活動\◎助成・積立・取崩（基金）\00：起案：団体登録\団体情報一覧\団体概要書（更新ごと最新に）pdf\615_prof.pdf","NPO北海道ネウボラ")</f>
        <v>NPO北海道ネウボラ</v>
      </c>
      <c r="C130" s="32" t="s">
        <v>763</v>
      </c>
      <c r="D130" s="32" t="s">
        <v>764</v>
      </c>
      <c r="E130" s="38" t="str">
        <f>HYPERLINK("https://hokkaido-neuvola.com","https://hokkaido-neuvola.com")</f>
        <v>https://hokkaido-neuvola.com</v>
      </c>
      <c r="F130" s="34" t="s">
        <v>765</v>
      </c>
      <c r="G130" s="34" t="s">
        <v>765</v>
      </c>
      <c r="H130" s="32" t="s">
        <v>766</v>
      </c>
      <c r="I130" s="32" t="s">
        <v>767</v>
      </c>
      <c r="J130" s="32" t="s">
        <v>768</v>
      </c>
      <c r="K130" s="35" t="s">
        <v>37</v>
      </c>
      <c r="L130" s="35"/>
      <c r="M130" s="35" t="s">
        <v>37</v>
      </c>
      <c r="N130" s="35"/>
      <c r="O130" s="35"/>
      <c r="P130" s="35"/>
      <c r="Q130" s="35"/>
      <c r="R130" s="35"/>
      <c r="S130" s="35"/>
      <c r="T130" s="35"/>
      <c r="U130" s="35"/>
      <c r="V130" s="35"/>
      <c r="W130" s="35" t="s">
        <v>37</v>
      </c>
      <c r="X130" s="35"/>
      <c r="Y130" s="35"/>
      <c r="Z130" s="35"/>
      <c r="AA130" s="35"/>
      <c r="AB130" s="35"/>
      <c r="AC130" s="35"/>
    </row>
    <row r="131" spans="1:29" ht="189">
      <c r="A131" s="36">
        <v>616</v>
      </c>
      <c r="B131" s="37" t="str">
        <f>HYPERLINK("\\intranet-fs4\市）地域振興部\14市民自治推進室\06  市民活動\◎助成・積立・取崩（基金）\00：起案：団体登録\団体情報一覧\団体概要書（更新ごと最新に）pdf\616_prof.pdf","一般社団法人ガールスカウト北海道連盟")</f>
        <v>一般社団法人ガールスカウト北海道連盟</v>
      </c>
      <c r="C131" s="32" t="s">
        <v>769</v>
      </c>
      <c r="D131" s="32" t="s">
        <v>770</v>
      </c>
      <c r="E131" s="33" t="str">
        <f>HYPERLINK(" https://gshc-hp.jimdo.com/http:// https://gshc-hp.jimdo.com/"," https://gshc-hp.jimdo.com/http:// https://gshc-hp.jimdo.com/")</f>
        <v xml:space="preserve"> https://gshc-hp.jimdo.com/http:// https://gshc-hp.jimdo.com/</v>
      </c>
      <c r="F131" s="34" t="s">
        <v>771</v>
      </c>
      <c r="G131" s="34" t="s">
        <v>771</v>
      </c>
      <c r="H131" s="32" t="s">
        <v>772</v>
      </c>
      <c r="I131" s="32" t="s">
        <v>773</v>
      </c>
      <c r="J131" s="32" t="s">
        <v>774</v>
      </c>
      <c r="K131" s="35"/>
      <c r="L131" s="35" t="s">
        <v>37</v>
      </c>
      <c r="M131" s="35"/>
      <c r="N131" s="35"/>
      <c r="O131" s="35"/>
      <c r="P131" s="35"/>
      <c r="Q131" s="35" t="s">
        <v>37</v>
      </c>
      <c r="R131" s="35"/>
      <c r="S131" s="35"/>
      <c r="T131" s="35"/>
      <c r="U131" s="35"/>
      <c r="V131" s="35" t="s">
        <v>37</v>
      </c>
      <c r="W131" s="35" t="s">
        <v>37</v>
      </c>
      <c r="X131" s="35"/>
      <c r="Y131" s="35"/>
      <c r="Z131" s="35"/>
      <c r="AA131" s="35"/>
      <c r="AB131" s="35"/>
      <c r="AC131" s="35"/>
    </row>
    <row r="132" spans="1:29" ht="108">
      <c r="A132" s="36">
        <v>617</v>
      </c>
      <c r="B132" s="37" t="str">
        <f>HYPERLINK("\\intranet-fs4\市）地域振興部\14市民自治推進室\06  市民活動\◎助成・積立・取崩（基金）\00：起案：団体登録\団体情報一覧\団体概要書（更新ごと最新に）pdf\617_prof.pdf","NPOボラギャング")</f>
        <v>NPOボラギャング</v>
      </c>
      <c r="C132" s="32" t="s">
        <v>775</v>
      </c>
      <c r="D132" s="32" t="s">
        <v>470</v>
      </c>
      <c r="E132" s="41"/>
      <c r="F132" s="34" t="s">
        <v>776</v>
      </c>
      <c r="G132" s="34" t="s">
        <v>776</v>
      </c>
      <c r="H132" s="32" t="s">
        <v>777</v>
      </c>
      <c r="I132" s="32" t="s">
        <v>778</v>
      </c>
      <c r="J132" s="32" t="s">
        <v>779</v>
      </c>
      <c r="K132" s="35"/>
      <c r="L132" s="35"/>
      <c r="M132" s="35" t="s">
        <v>37</v>
      </c>
      <c r="N132" s="35"/>
      <c r="O132" s="35"/>
      <c r="P132" s="35"/>
      <c r="Q132" s="35"/>
      <c r="R132" s="35"/>
      <c r="S132" s="35" t="s">
        <v>37</v>
      </c>
      <c r="T132" s="35"/>
      <c r="U132" s="35"/>
      <c r="V132" s="35"/>
      <c r="W132" s="35" t="s">
        <v>37</v>
      </c>
      <c r="X132" s="35"/>
      <c r="Y132" s="35"/>
      <c r="Z132" s="35"/>
      <c r="AA132" s="35"/>
      <c r="AB132" s="35"/>
      <c r="AC132" s="35"/>
    </row>
    <row r="133" spans="1:29" ht="409.5">
      <c r="A133" s="36">
        <v>619</v>
      </c>
      <c r="B133" s="37" t="str">
        <f>HYPERLINK("\\intranet-fs4\市）地域振興部\14市民自治推進室\06  市民活動\◎助成・積立・取崩（基金）\00：起案：団体登録\団体情報一覧\団体概要書（更新ごと最新に）pdf\619_prof.pdf","特定非営利活動法人　ことばのひろば五億の鈴の音")</f>
        <v>特定非営利活動法人　ことばのひろば五億の鈴の音</v>
      </c>
      <c r="C133" s="32" t="s">
        <v>780</v>
      </c>
      <c r="D133" s="32" t="s">
        <v>79</v>
      </c>
      <c r="E133" s="33" t="str">
        <f>HYPERLINK("https://www.kotoba-no-hiroba.org/","https://www.kotoba-no-hiroba.org/")</f>
        <v>https://www.kotoba-no-hiroba.org/</v>
      </c>
      <c r="F133" s="34" t="s">
        <v>781</v>
      </c>
      <c r="G133" s="34" t="s">
        <v>782</v>
      </c>
      <c r="H133" s="32" t="s">
        <v>783</v>
      </c>
      <c r="I133" s="32" t="s">
        <v>784</v>
      </c>
      <c r="J133" s="32" t="s">
        <v>785</v>
      </c>
      <c r="K133" s="35"/>
      <c r="L133" s="35" t="s">
        <v>37</v>
      </c>
      <c r="M133" s="35"/>
      <c r="N133" s="35"/>
      <c r="O133" s="35"/>
      <c r="P133" s="35" t="s">
        <v>37</v>
      </c>
      <c r="Q133" s="35"/>
      <c r="R133" s="35"/>
      <c r="S133" s="35"/>
      <c r="T133" s="35"/>
      <c r="U133" s="35"/>
      <c r="V133" s="35"/>
      <c r="W133" s="35" t="s">
        <v>37</v>
      </c>
      <c r="X133" s="35" t="s">
        <v>37</v>
      </c>
      <c r="Y133" s="35"/>
      <c r="Z133" s="35"/>
      <c r="AA133" s="35"/>
      <c r="AB133" s="35"/>
      <c r="AC133" s="35" t="s">
        <v>37</v>
      </c>
    </row>
    <row r="134" spans="1:29" ht="189">
      <c r="A134" s="36">
        <v>621</v>
      </c>
      <c r="B134" s="37" t="str">
        <f>HYPERLINK("\\intranet-fs4\市）地域振興部\14市民自治推進室\06  市民活動\◎助成・積立・取崩（基金）\00：起案：団体登録\団体情報一覧\団体概要書（更新ごと最新に）pdf\621_prof.pdf","どさんこスポチャンクラブ")</f>
        <v>どさんこスポチャンクラブ</v>
      </c>
      <c r="C134" s="32" t="s">
        <v>786</v>
      </c>
      <c r="D134" s="32" t="s">
        <v>787</v>
      </c>
      <c r="E134" s="33" t="str">
        <f>HYPERLINK("http://dosanko-spo.com/","http://dosanko-spo.com/")</f>
        <v>http://dosanko-spo.com/</v>
      </c>
      <c r="F134" s="34" t="s">
        <v>788</v>
      </c>
      <c r="G134" s="34" t="s">
        <v>293</v>
      </c>
      <c r="H134" s="32" t="s">
        <v>789</v>
      </c>
      <c r="I134" s="32" t="s">
        <v>790</v>
      </c>
      <c r="J134" s="32" t="s">
        <v>791</v>
      </c>
      <c r="K134" s="35"/>
      <c r="L134" s="35" t="s">
        <v>37</v>
      </c>
      <c r="M134" s="35" t="s">
        <v>37</v>
      </c>
      <c r="N134" s="35"/>
      <c r="O134" s="35"/>
      <c r="P134" s="35" t="s">
        <v>37</v>
      </c>
      <c r="Q134" s="35"/>
      <c r="R134" s="35"/>
      <c r="S134" s="35"/>
      <c r="T134" s="35"/>
      <c r="U134" s="35" t="s">
        <v>37</v>
      </c>
      <c r="V134" s="35"/>
      <c r="W134" s="35" t="s">
        <v>37</v>
      </c>
      <c r="X134" s="35"/>
      <c r="Y134" s="35"/>
      <c r="Z134" s="35"/>
      <c r="AA134" s="35"/>
      <c r="AB134" s="35"/>
      <c r="AC134" s="35" t="s">
        <v>37</v>
      </c>
    </row>
    <row r="135" spans="1:29" ht="94.5">
      <c r="A135" s="36">
        <v>623</v>
      </c>
      <c r="B135" s="37" t="str">
        <f>HYPERLINK("\\intranet-fs4\市）地域振興部\14市民自治推進室\06  市民活動\◎助成・積立・取崩（基金）\00：起案：団体登録\団体情報一覧\団体概要書（更新ごと最新に）pdf\623_prof.pdf","札幌認知症の人と家族の会")</f>
        <v>札幌認知症の人と家族の会</v>
      </c>
      <c r="C135" s="32" t="s">
        <v>792</v>
      </c>
      <c r="D135" s="32" t="s">
        <v>79</v>
      </c>
      <c r="E135" s="48"/>
      <c r="F135" s="34" t="s">
        <v>793</v>
      </c>
      <c r="G135" s="34" t="s">
        <v>793</v>
      </c>
      <c r="H135" s="32" t="s">
        <v>794</v>
      </c>
      <c r="I135" s="32" t="s">
        <v>795</v>
      </c>
      <c r="J135" s="32" t="s">
        <v>796</v>
      </c>
      <c r="K135" s="35" t="s">
        <v>37</v>
      </c>
      <c r="L135" s="35"/>
      <c r="M135" s="35"/>
      <c r="N135" s="35"/>
      <c r="O135" s="35"/>
      <c r="P135" s="35"/>
      <c r="Q135" s="35"/>
      <c r="R135" s="35"/>
      <c r="S135" s="35"/>
      <c r="T135" s="35"/>
      <c r="U135" s="35"/>
      <c r="V135" s="35"/>
      <c r="W135" s="35"/>
      <c r="X135" s="35"/>
      <c r="Y135" s="35"/>
      <c r="Z135" s="35"/>
      <c r="AA135" s="35"/>
      <c r="AB135" s="35"/>
      <c r="AC135" s="35"/>
    </row>
    <row r="136" spans="1:29" ht="229.5">
      <c r="A136" s="36">
        <v>626</v>
      </c>
      <c r="B136" s="37" t="str">
        <f>HYPERLINK("\\intranet-fs4\市）地域振興部\14市民自治推進室\06  市民活動\◎助成・積立・取崩（基金）\00：起案：団体登録\団体情報一覧\団体概要書（更新ごと最新に）pdf\626_prof.pdf","NPO法人つなぐ")</f>
        <v>NPO法人つなぐ</v>
      </c>
      <c r="C136" s="32" t="s">
        <v>797</v>
      </c>
      <c r="D136" s="32" t="s">
        <v>798</v>
      </c>
      <c r="E136" s="33" t="str">
        <f>HYPERLINK("https//npo-tsunagu.jimdo.comhttp://https//npo-tsunagu.jimdo.com","https//npo-tsunagu.jimdo.comhttp://https//npo-tsunagu.jimdo.com")</f>
        <v>https//npo-tsunagu.jimdo.comhttp://https//npo-tsunagu.jimdo.com</v>
      </c>
      <c r="F136" s="34" t="s">
        <v>799</v>
      </c>
      <c r="G136" s="34" t="s">
        <v>465</v>
      </c>
      <c r="H136" s="32" t="s">
        <v>800</v>
      </c>
      <c r="I136" s="32" t="s">
        <v>801</v>
      </c>
      <c r="J136" s="32" t="s">
        <v>802</v>
      </c>
      <c r="K136" s="35" t="s">
        <v>37</v>
      </c>
      <c r="L136" s="35"/>
      <c r="M136" s="35" t="s">
        <v>37</v>
      </c>
      <c r="N136" s="35"/>
      <c r="O136" s="35"/>
      <c r="P136" s="35"/>
      <c r="Q136" s="35"/>
      <c r="R136" s="35"/>
      <c r="S136" s="35"/>
      <c r="T136" s="35"/>
      <c r="U136" s="35"/>
      <c r="V136" s="35"/>
      <c r="W136" s="35" t="s">
        <v>37</v>
      </c>
      <c r="X136" s="35"/>
      <c r="Y136" s="35"/>
      <c r="Z136" s="35"/>
      <c r="AA136" s="35"/>
      <c r="AB136" s="35"/>
      <c r="AC136" s="35"/>
    </row>
    <row r="137" spans="1:29" ht="108">
      <c r="A137" s="36">
        <v>627</v>
      </c>
      <c r="B137" s="37" t="str">
        <f>HYPERLINK("\\intranet-fs4\市）地域振興部\14市民自治推進室\06  市民活動\◎助成・積立・取崩（基金）\00：起案：団体登録\団体情報一覧\団体概要書（更新ごと最新に）pdf\627_prof.pdf","一般社団法人　福祉システム北海道")</f>
        <v>一般社団法人　福祉システム北海道</v>
      </c>
      <c r="C137" s="32" t="s">
        <v>803</v>
      </c>
      <c r="D137" s="32" t="s">
        <v>804</v>
      </c>
      <c r="E137" s="33" t="str">
        <f>HYPERLINK("https://fukushi-sh.net/","https://fukushi-sh.net/")</f>
        <v>https://fukushi-sh.net/</v>
      </c>
      <c r="F137" s="34" t="s">
        <v>805</v>
      </c>
      <c r="G137" s="34" t="s">
        <v>806</v>
      </c>
      <c r="H137" s="32" t="s">
        <v>807</v>
      </c>
      <c r="I137" s="32" t="s">
        <v>808</v>
      </c>
      <c r="J137" s="32" t="s">
        <v>809</v>
      </c>
      <c r="K137" s="35" t="s">
        <v>37</v>
      </c>
      <c r="L137" s="35" t="s">
        <v>37</v>
      </c>
      <c r="M137" s="35" t="s">
        <v>37</v>
      </c>
      <c r="N137" s="35"/>
      <c r="O137" s="35"/>
      <c r="P137" s="35"/>
      <c r="Q137" s="35"/>
      <c r="R137" s="35"/>
      <c r="S137" s="35"/>
      <c r="T137" s="35" t="s">
        <v>37</v>
      </c>
      <c r="U137" s="35"/>
      <c r="V137" s="35" t="s">
        <v>37</v>
      </c>
      <c r="W137" s="35" t="s">
        <v>37</v>
      </c>
      <c r="X137" s="35"/>
      <c r="Y137" s="35"/>
      <c r="Z137" s="35" t="s">
        <v>37</v>
      </c>
      <c r="AA137" s="35" t="s">
        <v>37</v>
      </c>
      <c r="AB137" s="35"/>
      <c r="AC137" s="35" t="s">
        <v>37</v>
      </c>
    </row>
    <row r="138" spans="1:29" ht="135">
      <c r="A138" s="36">
        <v>628</v>
      </c>
      <c r="B138" s="37" t="str">
        <f>HYPERLINK("\\intranet-fs4\市）地域振興部\14市民自治推進室\06  市民活動\◎助成・積立・取崩（基金）\00：起案：団体登録\団体情報一覧\団体概要書（更新ごと最新に）pdf\628_prof.pdf","特定非営利活動法人ホッカイドウ・アニマル・ロー")</f>
        <v>特定非営利活動法人ホッカイドウ・アニマル・ロー</v>
      </c>
      <c r="C138" s="32" t="s">
        <v>810</v>
      </c>
      <c r="D138" s="32" t="s">
        <v>811</v>
      </c>
      <c r="E138" s="33" t="str">
        <f>HYPERLINK("http://hokkaidou.me/halaw/index.html","http://hokkaidou.me/halaw/index.html")</f>
        <v>http://hokkaidou.me/halaw/index.html</v>
      </c>
      <c r="F138" s="34" t="s">
        <v>812</v>
      </c>
      <c r="G138" s="34" t="s">
        <v>812</v>
      </c>
      <c r="H138" s="32" t="s">
        <v>813</v>
      </c>
      <c r="I138" s="32" t="s">
        <v>814</v>
      </c>
      <c r="J138" s="32" t="s">
        <v>815</v>
      </c>
      <c r="K138" s="35" t="s">
        <v>37</v>
      </c>
      <c r="L138" s="35" t="s">
        <v>37</v>
      </c>
      <c r="M138" s="35"/>
      <c r="N138" s="35"/>
      <c r="O138" s="35"/>
      <c r="P138" s="35"/>
      <c r="Q138" s="35" t="s">
        <v>37</v>
      </c>
      <c r="R138" s="35"/>
      <c r="S138" s="35"/>
      <c r="T138" s="35"/>
      <c r="U138" s="35"/>
      <c r="V138" s="35"/>
      <c r="W138" s="35"/>
      <c r="X138" s="35"/>
      <c r="Y138" s="35"/>
      <c r="Z138" s="35" t="s">
        <v>37</v>
      </c>
      <c r="AA138" s="35"/>
      <c r="AB138" s="35" t="s">
        <v>37</v>
      </c>
      <c r="AC138" s="35" t="s">
        <v>37</v>
      </c>
    </row>
    <row r="139" spans="1:29" ht="81">
      <c r="A139" s="36">
        <v>630</v>
      </c>
      <c r="B139" s="37" t="str">
        <f>HYPERLINK("\\intranet-fs4\市）地域振興部\14市民自治推進室\06  市民活動\◎助成・積立・取崩（基金）\00：起案：団体登録\団体情報一覧\団体概要書（更新ごと最新に）pdf\630_prof.pdf","特定非営利活動法人　農業塾　風のがっこう")</f>
        <v>特定非営利活動法人　農業塾　風のがっこう</v>
      </c>
      <c r="C139" s="32" t="s">
        <v>816</v>
      </c>
      <c r="D139" s="32" t="s">
        <v>79</v>
      </c>
      <c r="E139" s="41"/>
      <c r="F139" s="34" t="s">
        <v>391</v>
      </c>
      <c r="G139" s="34" t="s">
        <v>391</v>
      </c>
      <c r="H139" s="32" t="s">
        <v>817</v>
      </c>
      <c r="I139" s="32" t="s">
        <v>818</v>
      </c>
      <c r="J139" s="32" t="s">
        <v>819</v>
      </c>
      <c r="K139" s="35" t="s">
        <v>37</v>
      </c>
      <c r="L139" s="35" t="s">
        <v>37</v>
      </c>
      <c r="M139" s="35" t="s">
        <v>37</v>
      </c>
      <c r="N139" s="35"/>
      <c r="O139" s="35"/>
      <c r="P139" s="35"/>
      <c r="Q139" s="35" t="s">
        <v>37</v>
      </c>
      <c r="R139" s="35"/>
      <c r="S139" s="35"/>
      <c r="T139" s="35"/>
      <c r="U139" s="35"/>
      <c r="V139" s="35"/>
      <c r="W139" s="35" t="s">
        <v>37</v>
      </c>
      <c r="X139" s="35"/>
      <c r="Y139" s="35"/>
      <c r="Z139" s="35"/>
      <c r="AA139" s="35" t="s">
        <v>37</v>
      </c>
      <c r="AB139" s="35"/>
      <c r="AC139" s="35"/>
    </row>
    <row r="140" spans="1:29" ht="148.5">
      <c r="A140" s="36">
        <v>632</v>
      </c>
      <c r="B140" s="33" t="str">
        <f>HYPERLINK("\\intranet-fs4\市）地域振興部\14市民自治推進室\06  市民活動\◎助成・積立・取崩（基金）\00：起案：団体登録\団体情報一覧\団体概要書（更新ごと最新に）pdf\632_prof.pdf","NPOピーチハウス　女性と子どもの元気の輪")</f>
        <v>NPOピーチハウス　女性と子どもの元気の輪</v>
      </c>
      <c r="C140" s="32" t="s">
        <v>820</v>
      </c>
      <c r="D140" s="32" t="s">
        <v>821</v>
      </c>
      <c r="E140" s="33" t="str">
        <f>HYPERLINK("https://npo-ph.jimdo.com","https://npo-ph.jimdo.com")</f>
        <v>https://npo-ph.jimdo.com</v>
      </c>
      <c r="F140" s="34" t="s">
        <v>87</v>
      </c>
      <c r="G140" s="34" t="s">
        <v>87</v>
      </c>
      <c r="H140" s="32" t="s">
        <v>822</v>
      </c>
      <c r="I140" s="32" t="s">
        <v>823</v>
      </c>
      <c r="J140" s="32" t="s">
        <v>824</v>
      </c>
      <c r="K140" s="35" t="s">
        <v>37</v>
      </c>
      <c r="L140" s="35"/>
      <c r="M140" s="35"/>
      <c r="N140" s="35"/>
      <c r="O140" s="35"/>
      <c r="P140" s="35"/>
      <c r="Q140" s="35"/>
      <c r="R140" s="35"/>
      <c r="S140" s="35"/>
      <c r="T140" s="35"/>
      <c r="U140" s="35"/>
      <c r="V140" s="35" t="s">
        <v>37</v>
      </c>
      <c r="W140" s="35" t="s">
        <v>37</v>
      </c>
      <c r="X140" s="35"/>
      <c r="Y140" s="35"/>
      <c r="Z140" s="35"/>
      <c r="AA140" s="35"/>
      <c r="AB140" s="35"/>
      <c r="AC140" s="35"/>
    </row>
    <row r="141" spans="1:29" ht="121.5">
      <c r="A141" s="36">
        <v>634</v>
      </c>
      <c r="B141" s="37" t="str">
        <f>HYPERLINK("\\intranet-fs4\市）地域振興部\14市民自治推進室\06  市民活動\◎助成・積立・取崩（基金）\00：起案：団体登録\団体情報一覧\団体概要書（更新ごと最新に）pdf\634_prof.pdf","チャレンジドチア北海道")</f>
        <v>チャレンジドチア北海道</v>
      </c>
      <c r="C141" s="32" t="s">
        <v>825</v>
      </c>
      <c r="D141" s="32" t="s">
        <v>826</v>
      </c>
      <c r="E141" s="41"/>
      <c r="F141" s="34" t="s">
        <v>827</v>
      </c>
      <c r="G141" s="34" t="s">
        <v>827</v>
      </c>
      <c r="H141" s="32" t="s">
        <v>828</v>
      </c>
      <c r="I141" s="32" t="s">
        <v>829</v>
      </c>
      <c r="J141" s="32" t="s">
        <v>830</v>
      </c>
      <c r="K141" s="35" t="s">
        <v>37</v>
      </c>
      <c r="L141" s="35" t="s">
        <v>37</v>
      </c>
      <c r="M141" s="35" t="s">
        <v>37</v>
      </c>
      <c r="N141" s="35"/>
      <c r="O141" s="35"/>
      <c r="P141" s="35" t="s">
        <v>37</v>
      </c>
      <c r="Q141" s="35"/>
      <c r="R141" s="35"/>
      <c r="S141" s="35"/>
      <c r="T141" s="35"/>
      <c r="U141" s="35"/>
      <c r="V141" s="35"/>
      <c r="W141" s="35" t="s">
        <v>37</v>
      </c>
      <c r="X141" s="35"/>
      <c r="Y141" s="35"/>
      <c r="Z141" s="35"/>
      <c r="AA141" s="35"/>
      <c r="AB141" s="35"/>
      <c r="AC141" s="35"/>
    </row>
    <row r="142" spans="1:29" ht="189">
      <c r="A142" s="36">
        <v>639</v>
      </c>
      <c r="B142" s="37" t="str">
        <f>HYPERLINK("\\intranet-fs4\市）地域振興部\14市民自治推進室\06  市民活動\◎助成・積立・取崩（基金）\00：起案：団体登録\団体情報一覧\団体概要書（更新ごと最新に）pdf\639_prof.pdf","特定非営利活動法人ひとり親とこどもふぉーらむ北海道")</f>
        <v>特定非営利活動法人ひとり親とこどもふぉーらむ北海道</v>
      </c>
      <c r="C142" s="32" t="s">
        <v>831</v>
      </c>
      <c r="D142" s="32" t="s">
        <v>832</v>
      </c>
      <c r="E142" s="33" t="str">
        <f>HYPERLINK("http://smf-hokkaido.com/","http://smf-hokkaido.com/")</f>
        <v>http://smf-hokkaido.com/</v>
      </c>
      <c r="F142" s="34" t="s">
        <v>833</v>
      </c>
      <c r="G142" s="34" t="s">
        <v>834</v>
      </c>
      <c r="H142" s="32" t="s">
        <v>835</v>
      </c>
      <c r="I142" s="32" t="s">
        <v>836</v>
      </c>
      <c r="J142" s="32" t="s">
        <v>837</v>
      </c>
      <c r="K142" s="35" t="s">
        <v>37</v>
      </c>
      <c r="L142" s="35" t="s">
        <v>37</v>
      </c>
      <c r="M142" s="35" t="s">
        <v>37</v>
      </c>
      <c r="N142" s="35"/>
      <c r="O142" s="35"/>
      <c r="P142" s="35"/>
      <c r="Q142" s="35"/>
      <c r="R142" s="35"/>
      <c r="S142" s="35"/>
      <c r="T142" s="35"/>
      <c r="U142" s="35"/>
      <c r="V142" s="35" t="s">
        <v>37</v>
      </c>
      <c r="W142" s="35" t="s">
        <v>37</v>
      </c>
      <c r="X142" s="35"/>
      <c r="Y142" s="35"/>
      <c r="Z142" s="35"/>
      <c r="AA142" s="35"/>
      <c r="AB142" s="35"/>
      <c r="AC142" s="35"/>
    </row>
    <row r="143" spans="1:29" ht="162">
      <c r="A143" s="36">
        <v>641</v>
      </c>
      <c r="B143" s="37" t="str">
        <f>HYPERLINK("\\intranet-fs4\市）地域振興部\14市民自治推進室\06  市民活動\◎助成・積立・取崩（基金）\00：起案：団体登録\団体情報一覧\団体概要書（更新ごと最新に）pdf\641_prof.pdf","八軒中央連合町内会")</f>
        <v>八軒中央連合町内会</v>
      </c>
      <c r="C143" s="32" t="s">
        <v>838</v>
      </c>
      <c r="D143" s="32" t="s">
        <v>839</v>
      </c>
      <c r="E143" s="41"/>
      <c r="F143" s="34" t="s">
        <v>840</v>
      </c>
      <c r="G143" s="34" t="s">
        <v>840</v>
      </c>
      <c r="H143" s="32" t="s">
        <v>841</v>
      </c>
      <c r="I143" s="32" t="s">
        <v>842</v>
      </c>
      <c r="J143" s="32" t="s">
        <v>843</v>
      </c>
      <c r="K143" s="35" t="s">
        <v>37</v>
      </c>
      <c r="L143" s="35" t="s">
        <v>37</v>
      </c>
      <c r="M143" s="35" t="s">
        <v>37</v>
      </c>
      <c r="N143" s="35"/>
      <c r="O143" s="35"/>
      <c r="P143" s="35" t="s">
        <v>37</v>
      </c>
      <c r="Q143" s="35" t="s">
        <v>37</v>
      </c>
      <c r="R143" s="35" t="s">
        <v>37</v>
      </c>
      <c r="S143" s="35" t="s">
        <v>37</v>
      </c>
      <c r="T143" s="35"/>
      <c r="U143" s="35"/>
      <c r="V143" s="35"/>
      <c r="W143" s="35" t="s">
        <v>37</v>
      </c>
      <c r="X143" s="35"/>
      <c r="Y143" s="35"/>
      <c r="Z143" s="35"/>
      <c r="AA143" s="35"/>
      <c r="AB143" s="35"/>
      <c r="AC143" s="35"/>
    </row>
    <row r="144" spans="1:29" ht="135">
      <c r="A144" s="36">
        <v>642</v>
      </c>
      <c r="B144" s="37" t="str">
        <f>HYPERLINK("\\intranet-fs4\市）地域振興部\14市民自治推進室\06  市民活動\◎助成・積立・取崩（基金）\00：起案：団体登録\団体情報一覧\団体概要書（更新ごと最新に）pdf\642_prof.pdf","琴似中央小学校　ＫＴハーモニー")</f>
        <v>琴似中央小学校　ＫＴハーモニー</v>
      </c>
      <c r="C144" s="32" t="s">
        <v>844</v>
      </c>
      <c r="D144" s="32" t="s">
        <v>79</v>
      </c>
      <c r="E144" s="41"/>
      <c r="F144" s="34" t="s">
        <v>845</v>
      </c>
      <c r="G144" s="34" t="s">
        <v>845</v>
      </c>
      <c r="H144" s="32" t="s">
        <v>846</v>
      </c>
      <c r="I144" s="32" t="s">
        <v>847</v>
      </c>
      <c r="J144" s="32" t="s">
        <v>848</v>
      </c>
      <c r="K144" s="35"/>
      <c r="L144" s="35" t="s">
        <v>37</v>
      </c>
      <c r="M144" s="35" t="s">
        <v>37</v>
      </c>
      <c r="N144" s="35"/>
      <c r="O144" s="35"/>
      <c r="P144" s="35" t="s">
        <v>37</v>
      </c>
      <c r="Q144" s="35"/>
      <c r="R144" s="35"/>
      <c r="S144" s="35"/>
      <c r="T144" s="35"/>
      <c r="U144" s="35"/>
      <c r="V144" s="35"/>
      <c r="W144" s="35" t="s">
        <v>37</v>
      </c>
      <c r="X144" s="35"/>
      <c r="Y144" s="35"/>
      <c r="Z144" s="35"/>
      <c r="AA144" s="35"/>
      <c r="AB144" s="35"/>
      <c r="AC144" s="35"/>
    </row>
    <row r="145" spans="1:29" ht="121.5">
      <c r="A145" s="36">
        <v>643</v>
      </c>
      <c r="B145" s="37" t="str">
        <f>HYPERLINK("\\intranet-fs4\市）地域振興部\14市民自治推進室\06  市民活動\◎助成・積立・取崩（基金）\00：起案：団体登録\団体情報一覧\団体概要書（更新ごと最新に）pdf\643_prof.pdf","東日本大震災復興支援「子どもを守ろうよ」の会")</f>
        <v>東日本大震災復興支援「子どもを守ろうよ」の会</v>
      </c>
      <c r="C145" s="32" t="s">
        <v>849</v>
      </c>
      <c r="D145" s="32" t="s">
        <v>850</v>
      </c>
      <c r="E145" s="41"/>
      <c r="F145" s="34" t="s">
        <v>851</v>
      </c>
      <c r="G145" s="34" t="s">
        <v>851</v>
      </c>
      <c r="H145" s="32" t="s">
        <v>852</v>
      </c>
      <c r="I145" s="32" t="s">
        <v>853</v>
      </c>
      <c r="J145" s="32" t="s">
        <v>854</v>
      </c>
      <c r="K145" s="35"/>
      <c r="L145" s="35"/>
      <c r="M145" s="35"/>
      <c r="N145" s="35"/>
      <c r="O145" s="35"/>
      <c r="P145" s="35"/>
      <c r="Q145" s="35"/>
      <c r="R145" s="35" t="s">
        <v>37</v>
      </c>
      <c r="S145" s="35"/>
      <c r="T145" s="35"/>
      <c r="U145" s="35"/>
      <c r="V145" s="35"/>
      <c r="W145" s="35" t="s">
        <v>37</v>
      </c>
      <c r="X145" s="35"/>
      <c r="Y145" s="35"/>
      <c r="Z145" s="35"/>
      <c r="AA145" s="35"/>
      <c r="AB145" s="35"/>
      <c r="AC145" s="35"/>
    </row>
    <row r="146" spans="1:29" ht="54">
      <c r="A146" s="36">
        <v>645</v>
      </c>
      <c r="B146" s="37" t="str">
        <f>HYPERLINK("\\intranet-fs4\市）地域振興部\14市民自治推進室\06  市民活動\◎助成・積立・取崩（基金）\00：起案：団体登録\団体情報一覧\団体概要書（更新ごと最新に）pdf\645_prof.pdf","特定非営利活動法人フードバンクイコロさっぽろ")</f>
        <v>特定非営利活動法人フードバンクイコロさっぽろ</v>
      </c>
      <c r="C146" s="32" t="s">
        <v>855</v>
      </c>
      <c r="D146" s="32" t="s">
        <v>79</v>
      </c>
      <c r="E146" s="33" t="str">
        <f>HYPERLINK("https://foodbank-ikorsapporo.themedia.jp/","https://foodbank-ikorsapporo.themedia.jp/")</f>
        <v>https://foodbank-ikorsapporo.themedia.jp/</v>
      </c>
      <c r="F146" s="34" t="s">
        <v>856</v>
      </c>
      <c r="G146" s="34" t="s">
        <v>857</v>
      </c>
      <c r="H146" s="32" t="s">
        <v>858</v>
      </c>
      <c r="I146" s="32" t="s">
        <v>859</v>
      </c>
      <c r="J146" s="32" t="s">
        <v>860</v>
      </c>
      <c r="K146" s="35" t="s">
        <v>37</v>
      </c>
      <c r="L146" s="35" t="s">
        <v>37</v>
      </c>
      <c r="M146" s="35"/>
      <c r="N146" s="35"/>
      <c r="O146" s="35"/>
      <c r="P146" s="35"/>
      <c r="Q146" s="35" t="s">
        <v>37</v>
      </c>
      <c r="R146" s="35"/>
      <c r="S146" s="35"/>
      <c r="T146" s="35"/>
      <c r="U146" s="35"/>
      <c r="V146" s="35"/>
      <c r="W146" s="35" t="s">
        <v>37</v>
      </c>
      <c r="X146" s="35"/>
      <c r="Y146" s="35"/>
      <c r="Z146" s="35"/>
      <c r="AA146" s="35"/>
      <c r="AB146" s="35"/>
      <c r="AC146" s="35"/>
    </row>
    <row r="147" spans="1:29" ht="94.5">
      <c r="A147" s="36">
        <v>646</v>
      </c>
      <c r="B147" s="37" t="str">
        <f>HYPERLINK("\\intranet-fs4\市）地域振興部\14市民自治推進室\06  市民活動\◎助成・積立・取崩（基金）\00：起案：団体登録\団体情報一覧\団体概要書（更新ごと最新に）pdf\646_prof.pdf","北野地区町内会連合会")</f>
        <v>北野地区町内会連合会</v>
      </c>
      <c r="C147" s="32" t="s">
        <v>861</v>
      </c>
      <c r="D147" s="32" t="s">
        <v>862</v>
      </c>
      <c r="E147" s="38" t="str">
        <f>HYPERLINK("http://new.kitanotiku.com/","http://new.kitanotiku.com/")</f>
        <v>http://new.kitanotiku.com/</v>
      </c>
      <c r="F147" s="34" t="s">
        <v>863</v>
      </c>
      <c r="G147" s="34" t="s">
        <v>863</v>
      </c>
      <c r="H147" s="32" t="s">
        <v>864</v>
      </c>
      <c r="I147" s="32" t="s">
        <v>865</v>
      </c>
      <c r="J147" s="32" t="s">
        <v>866</v>
      </c>
      <c r="K147" s="35" t="s">
        <v>37</v>
      </c>
      <c r="L147" s="35"/>
      <c r="M147" s="35" t="s">
        <v>37</v>
      </c>
      <c r="N147" s="35"/>
      <c r="O147" s="35"/>
      <c r="P147" s="35" t="s">
        <v>37</v>
      </c>
      <c r="Q147" s="35" t="s">
        <v>37</v>
      </c>
      <c r="R147" s="35" t="s">
        <v>37</v>
      </c>
      <c r="S147" s="35" t="s">
        <v>37</v>
      </c>
      <c r="T147" s="35"/>
      <c r="U147" s="35"/>
      <c r="V147" s="35"/>
      <c r="W147" s="35" t="s">
        <v>37</v>
      </c>
      <c r="X147" s="35"/>
      <c r="Y147" s="35"/>
      <c r="Z147" s="35"/>
      <c r="AA147" s="35"/>
      <c r="AB147" s="35"/>
      <c r="AC147" s="35" t="s">
        <v>37</v>
      </c>
    </row>
    <row r="148" spans="1:29" ht="216">
      <c r="A148" s="36">
        <v>647</v>
      </c>
      <c r="B148" s="37" t="str">
        <f>HYPERLINK("\\intranet-fs4\市）地域振興部\14市民自治推進室\06  市民活動\◎助成・積立・取崩（基金）\00：起案：団体登録\団体情報一覧\団体概要書（更新ごと最新に）pdf\647_prof.pdf","特定非営利活動法人ライフアップ")</f>
        <v>特定非営利活動法人ライフアップ</v>
      </c>
      <c r="C148" s="32" t="s">
        <v>867</v>
      </c>
      <c r="D148" s="32" t="s">
        <v>868</v>
      </c>
      <c r="E148" s="41"/>
      <c r="F148" s="34" t="s">
        <v>869</v>
      </c>
      <c r="G148" s="34" t="s">
        <v>869</v>
      </c>
      <c r="H148" s="32" t="s">
        <v>870</v>
      </c>
      <c r="I148" s="32" t="s">
        <v>871</v>
      </c>
      <c r="J148" s="32" t="s">
        <v>872</v>
      </c>
      <c r="K148" s="35" t="s">
        <v>37</v>
      </c>
      <c r="L148" s="35" t="s">
        <v>37</v>
      </c>
      <c r="M148" s="35" t="s">
        <v>37</v>
      </c>
      <c r="N148" s="35"/>
      <c r="O148" s="35"/>
      <c r="P148" s="35" t="s">
        <v>37</v>
      </c>
      <c r="Q148" s="35"/>
      <c r="R148" s="35"/>
      <c r="S148" s="35"/>
      <c r="T148" s="35"/>
      <c r="U148" s="35"/>
      <c r="V148" s="35"/>
      <c r="W148" s="35" t="s">
        <v>37</v>
      </c>
      <c r="X148" s="35" t="s">
        <v>37</v>
      </c>
      <c r="Y148" s="35"/>
      <c r="Z148" s="35"/>
      <c r="AA148" s="35"/>
      <c r="AB148" s="35"/>
      <c r="AC148" s="35" t="s">
        <v>37</v>
      </c>
    </row>
    <row r="149" spans="1:29" ht="81">
      <c r="A149" s="36">
        <v>655</v>
      </c>
      <c r="B149" s="37" t="str">
        <f>HYPERLINK("\\intranet-fs4\市）地域振興部\14市民自治推進室\06  市民活動\◎助成・積立・取崩（基金）\00：起案：団体登録\団体情報一覧\団体概要書（更新ごと最新に）pdf\655_prof.pdf","特定非営利活動法人札幌チャレンジド")</f>
        <v>特定非営利活動法人札幌チャレンジド</v>
      </c>
      <c r="C149" s="32" t="s">
        <v>873</v>
      </c>
      <c r="D149" s="32" t="s">
        <v>874</v>
      </c>
      <c r="E149" s="33" t="str">
        <f>HYPERLINK("http://s-challenged.jp/","http://s-challenged.jp/")</f>
        <v>http://s-challenged.jp/</v>
      </c>
      <c r="F149" s="34" t="s">
        <v>875</v>
      </c>
      <c r="G149" s="34" t="s">
        <v>875</v>
      </c>
      <c r="H149" s="32" t="s">
        <v>876</v>
      </c>
      <c r="I149" s="32" t="s">
        <v>877</v>
      </c>
      <c r="J149" s="32" t="s">
        <v>878</v>
      </c>
      <c r="K149" s="35" t="s">
        <v>37</v>
      </c>
      <c r="L149" s="35" t="s">
        <v>37</v>
      </c>
      <c r="M149" s="35" t="s">
        <v>37</v>
      </c>
      <c r="N149" s="35"/>
      <c r="O149" s="35"/>
      <c r="P149" s="35"/>
      <c r="Q149" s="35"/>
      <c r="R149" s="35"/>
      <c r="S149" s="35"/>
      <c r="T149" s="35"/>
      <c r="U149" s="35"/>
      <c r="V149" s="35"/>
      <c r="W149" s="35"/>
      <c r="X149" s="35"/>
      <c r="Y149" s="35"/>
      <c r="Z149" s="35"/>
      <c r="AA149" s="35"/>
      <c r="AB149" s="35"/>
      <c r="AC149" s="35" t="s">
        <v>37</v>
      </c>
    </row>
    <row r="150" spans="1:29" ht="121.5">
      <c r="A150" s="36">
        <v>656</v>
      </c>
      <c r="B150" s="37" t="str">
        <f>HYPERLINK("\\intranet-fs4\市）地域振興部\14市民自治推進室\06  市民活動\◎助成・積立・取崩（基金）\00：起案：団体登録\団体情報一覧\団体概要書（更新ごと最新に）pdf\656_prof.pdf","ファンタジアパル")</f>
        <v>ファンタジアパル</v>
      </c>
      <c r="C150" s="32" t="s">
        <v>879</v>
      </c>
      <c r="D150" s="32" t="s">
        <v>880</v>
      </c>
      <c r="E150" s="33" t="str">
        <f>HYPERLINK("https://kishi-harue.com/","https://kishi-harue.com/")</f>
        <v>https://kishi-harue.com/</v>
      </c>
      <c r="F150" s="34" t="s">
        <v>591</v>
      </c>
      <c r="G150" s="34" t="s">
        <v>881</v>
      </c>
      <c r="H150" s="32" t="s">
        <v>882</v>
      </c>
      <c r="I150" s="32" t="s">
        <v>883</v>
      </c>
      <c r="J150" s="32" t="s">
        <v>884</v>
      </c>
      <c r="K150" s="35"/>
      <c r="L150" s="35" t="s">
        <v>37</v>
      </c>
      <c r="M150" s="35"/>
      <c r="N150" s="35"/>
      <c r="O150" s="35"/>
      <c r="P150" s="35" t="s">
        <v>37</v>
      </c>
      <c r="Q150" s="35" t="s">
        <v>37</v>
      </c>
      <c r="R150" s="35" t="s">
        <v>37</v>
      </c>
      <c r="S150" s="35" t="s">
        <v>37</v>
      </c>
      <c r="T150" s="35" t="s">
        <v>37</v>
      </c>
      <c r="U150" s="35" t="s">
        <v>37</v>
      </c>
      <c r="V150" s="35"/>
      <c r="W150" s="35" t="s">
        <v>37</v>
      </c>
      <c r="X150" s="35"/>
      <c r="Y150" s="35"/>
      <c r="Z150" s="35"/>
      <c r="AA150" s="35"/>
      <c r="AB150" s="35"/>
      <c r="AC150" s="35" t="s">
        <v>37</v>
      </c>
    </row>
    <row r="151" spans="1:29" ht="108">
      <c r="A151" s="36">
        <v>658</v>
      </c>
      <c r="B151" s="37" t="str">
        <f>HYPERLINK("\\intranet-fs4\市）地域振興部\14市民自治推進室\06  市民活動\◎助成・積立・取崩（基金）\00：起案：団体登録\団体情報一覧\団体概要書（更新ごと最新に）pdf\658_prof.pdf","さっぽろ将棋普及の会")</f>
        <v>さっぽろ将棋普及の会</v>
      </c>
      <c r="C151" s="32" t="s">
        <v>885</v>
      </c>
      <c r="D151" s="32" t="s">
        <v>651</v>
      </c>
      <c r="E151" s="41"/>
      <c r="F151" s="34" t="s">
        <v>869</v>
      </c>
      <c r="G151" s="34" t="s">
        <v>869</v>
      </c>
      <c r="H151" s="32" t="s">
        <v>886</v>
      </c>
      <c r="I151" s="32" t="s">
        <v>887</v>
      </c>
      <c r="J151" s="32" t="s">
        <v>888</v>
      </c>
      <c r="K151" s="35"/>
      <c r="L151" s="35" t="s">
        <v>37</v>
      </c>
      <c r="M151" s="35" t="s">
        <v>37</v>
      </c>
      <c r="N151" s="35"/>
      <c r="O151" s="35"/>
      <c r="P151" s="35" t="s">
        <v>37</v>
      </c>
      <c r="Q151" s="35"/>
      <c r="R151" s="35"/>
      <c r="S151" s="35"/>
      <c r="T151" s="35"/>
      <c r="U151" s="35"/>
      <c r="V151" s="35"/>
      <c r="W151" s="35" t="s">
        <v>37</v>
      </c>
      <c r="X151" s="35"/>
      <c r="Y151" s="35"/>
      <c r="Z151" s="35" t="s">
        <v>37</v>
      </c>
      <c r="AA151" s="35" t="s">
        <v>37</v>
      </c>
      <c r="AB151" s="35"/>
      <c r="AC151" s="35"/>
    </row>
    <row r="152" spans="1:29" ht="81">
      <c r="A152" s="36">
        <v>659</v>
      </c>
      <c r="B152" s="37" t="str">
        <f>HYPERLINK("\\intranet-fs4\市）地域振興部\14市民自治推進室\06  市民活動\◎助成・積立・取崩（基金）\00：起案：団体登録\団体情報一覧\団体概要書（更新ごと最新に）pdf\659_prof.pdf","どこにもないアート教室　ちびちびぽっく")</f>
        <v>どこにもないアート教室　ちびちびぽっく</v>
      </c>
      <c r="C152" s="32" t="s">
        <v>889</v>
      </c>
      <c r="D152" s="32" t="s">
        <v>470</v>
      </c>
      <c r="E152" s="33" t="str">
        <f>HYPERLINK("http://ameblo.jp/believeandtrust55/","http://ameblo.jp/believeandtrust55/")</f>
        <v>http://ameblo.jp/believeandtrust55/</v>
      </c>
      <c r="F152" s="34" t="s">
        <v>890</v>
      </c>
      <c r="G152" s="34" t="s">
        <v>890</v>
      </c>
      <c r="H152" s="32" t="s">
        <v>891</v>
      </c>
      <c r="I152" s="32" t="s">
        <v>892</v>
      </c>
      <c r="J152" s="32" t="s">
        <v>893</v>
      </c>
      <c r="K152" s="35"/>
      <c r="L152" s="35"/>
      <c r="M152" s="35"/>
      <c r="N152" s="35"/>
      <c r="O152" s="35"/>
      <c r="P152" s="35" t="s">
        <v>37</v>
      </c>
      <c r="Q152" s="35"/>
      <c r="R152" s="35"/>
      <c r="S152" s="35"/>
      <c r="T152" s="35"/>
      <c r="U152" s="35"/>
      <c r="V152" s="35"/>
      <c r="W152" s="35" t="s">
        <v>37</v>
      </c>
      <c r="X152" s="35"/>
      <c r="Y152" s="35"/>
      <c r="Z152" s="35"/>
      <c r="AA152" s="35"/>
      <c r="AB152" s="35"/>
      <c r="AC152" s="35"/>
    </row>
    <row r="153" spans="1:29" ht="216">
      <c r="A153" s="36">
        <v>661</v>
      </c>
      <c r="B153" s="37" t="str">
        <f>HYPERLINK("\\intranet-fs4\市）地域振興部\14市民自治推進室\06  市民活動\◎助成・積立・取崩（基金）\00：起案：団体登録\団体情報一覧\団体概要書（更新ごと最新に）pdf\661_prof.pdf","札幌藤野多世代交流ラボWAO！")</f>
        <v>札幌藤野多世代交流ラボWAO！</v>
      </c>
      <c r="C153" s="32" t="s">
        <v>894</v>
      </c>
      <c r="D153" s="32" t="s">
        <v>895</v>
      </c>
      <c r="E153" s="33" t="str">
        <f>HYPERLINK("wao-fujino8.hateblo.jphttp://wao-fujino8.hateblo.jp","wao-fujino8.hateblo.jphttp://wao-fujino8.hateblo.jp")</f>
        <v>wao-fujino8.hateblo.jphttp://wao-fujino8.hateblo.jp</v>
      </c>
      <c r="F153" s="34" t="s">
        <v>781</v>
      </c>
      <c r="G153" s="34" t="s">
        <v>806</v>
      </c>
      <c r="H153" s="32" t="s">
        <v>896</v>
      </c>
      <c r="I153" s="32" t="s">
        <v>897</v>
      </c>
      <c r="J153" s="32" t="s">
        <v>898</v>
      </c>
      <c r="K153" s="35"/>
      <c r="L153" s="35"/>
      <c r="M153" s="35" t="s">
        <v>37</v>
      </c>
      <c r="N153" s="35"/>
      <c r="O153" s="35"/>
      <c r="P153" s="35"/>
      <c r="Q153" s="35"/>
      <c r="R153" s="35"/>
      <c r="S153" s="35"/>
      <c r="T153" s="35"/>
      <c r="U153" s="35"/>
      <c r="V153" s="35"/>
      <c r="W153" s="35" t="s">
        <v>37</v>
      </c>
      <c r="X153" s="35"/>
      <c r="Y153" s="35"/>
      <c r="Z153" s="35"/>
      <c r="AA153" s="35"/>
      <c r="AB153" s="35"/>
      <c r="AC153" s="35"/>
    </row>
    <row r="154" spans="1:29" ht="81">
      <c r="A154" s="36">
        <v>662</v>
      </c>
      <c r="B154" s="37" t="str">
        <f>HYPERLINK("\\intranet-fs4\市）地域振興部\14市民自治推進室\06  市民活動\◎助成・積立・取崩（基金）\00：起案：団体登録\団体情報一覧\団体概要書（更新ごと最新に）pdf\662_prof.pdf","特定非営利活動法人ezorock")</f>
        <v>特定非営利活動法人ezorock</v>
      </c>
      <c r="C154" s="32" t="s">
        <v>899</v>
      </c>
      <c r="D154" s="32" t="s">
        <v>900</v>
      </c>
      <c r="E154" s="33" t="str">
        <f>HYPERLINK("https://www.ezorock.org","https://www.ezorock.org")</f>
        <v>https://www.ezorock.org</v>
      </c>
      <c r="F154" s="34" t="s">
        <v>312</v>
      </c>
      <c r="G154" s="34" t="s">
        <v>383</v>
      </c>
      <c r="H154" s="32" t="s">
        <v>901</v>
      </c>
      <c r="I154" s="32" t="s">
        <v>902</v>
      </c>
      <c r="J154" s="32" t="s">
        <v>903</v>
      </c>
      <c r="K154" s="35"/>
      <c r="L154" s="35" t="s">
        <v>37</v>
      </c>
      <c r="M154" s="35" t="s">
        <v>37</v>
      </c>
      <c r="N154" s="35"/>
      <c r="O154" s="35" t="s">
        <v>37</v>
      </c>
      <c r="P154" s="35"/>
      <c r="Q154" s="35" t="s">
        <v>37</v>
      </c>
      <c r="R154" s="35"/>
      <c r="S154" s="35"/>
      <c r="T154" s="35"/>
      <c r="U154" s="35"/>
      <c r="V154" s="35"/>
      <c r="W154" s="35"/>
      <c r="X154" s="35"/>
      <c r="Y154" s="35"/>
      <c r="Z154" s="35"/>
      <c r="AA154" s="35"/>
      <c r="AB154" s="35"/>
      <c r="AC154" s="35" t="s">
        <v>37</v>
      </c>
    </row>
    <row r="155" spans="1:29" ht="94.5">
      <c r="A155" s="36">
        <v>663</v>
      </c>
      <c r="B155" s="37" t="str">
        <f>HYPERLINK("\\intranet-fs4\市）地域振興部\14市民自治推進室\06  市民活動\◎助成・積立・取崩（基金）\00：起案：団体登録\団体情報一覧\団体概要書（更新ごと最新に）pdf\663_prof.pdf","劇団　HASCAP")</f>
        <v>劇団　HASCAP</v>
      </c>
      <c r="C155" s="32" t="s">
        <v>904</v>
      </c>
      <c r="D155" s="32" t="s">
        <v>39</v>
      </c>
      <c r="E155" s="33" t="str">
        <f>HYPERLINK("http://nijiiro-sapporo.com/index.php?劇団HASCAP","http://nijiiro-sapporo.com/index.php?劇団HASCAP")</f>
        <v>http://nijiiro-sapporo.com/index.php?劇団HASCAP</v>
      </c>
      <c r="F155" s="34" t="s">
        <v>558</v>
      </c>
      <c r="G155" s="34" t="s">
        <v>558</v>
      </c>
      <c r="H155" s="32" t="s">
        <v>905</v>
      </c>
      <c r="I155" s="32" t="s">
        <v>906</v>
      </c>
      <c r="J155" s="32" t="s">
        <v>907</v>
      </c>
      <c r="K155" s="35" t="s">
        <v>37</v>
      </c>
      <c r="L155" s="35"/>
      <c r="M155" s="35"/>
      <c r="N155" s="35"/>
      <c r="O155" s="35"/>
      <c r="P155" s="35" t="s">
        <v>37</v>
      </c>
      <c r="Q155" s="35"/>
      <c r="R155" s="35"/>
      <c r="S155" s="35"/>
      <c r="T155" s="35"/>
      <c r="U155" s="35"/>
      <c r="V155" s="35"/>
      <c r="W155" s="35"/>
      <c r="X155" s="35"/>
      <c r="Y155" s="35"/>
      <c r="Z155" s="35"/>
      <c r="AA155" s="35"/>
      <c r="AB155" s="35"/>
      <c r="AC155" s="35"/>
    </row>
    <row r="156" spans="1:29" ht="148.5">
      <c r="A156" s="36">
        <v>664</v>
      </c>
      <c r="B156" s="37" t="str">
        <f>HYPERLINK("\\intranet-fs4\市）地域振興部\14市民自治推進室\06  市民活動\◎助成・積立・取崩（基金）\00：起案：団体登録\団体情報一覧\団体概要書（更新ごと最新に）pdf\664_prof.pdf","モノバンク札幌")</f>
        <v>モノバンク札幌</v>
      </c>
      <c r="C156" s="32" t="s">
        <v>908</v>
      </c>
      <c r="D156" s="32" t="s">
        <v>257</v>
      </c>
      <c r="E156" s="33" t="str">
        <f>HYPERLINK("https:monobanksapporo.com/","https:monobanksapporo.com/")</f>
        <v>https:monobanksapporo.com/</v>
      </c>
      <c r="F156" s="34" t="s">
        <v>857</v>
      </c>
      <c r="G156" s="34" t="s">
        <v>857</v>
      </c>
      <c r="H156" s="32" t="s">
        <v>909</v>
      </c>
      <c r="I156" s="32" t="s">
        <v>910</v>
      </c>
      <c r="J156" s="32" t="s">
        <v>911</v>
      </c>
      <c r="K156" s="35"/>
      <c r="L156" s="35" t="s">
        <v>37</v>
      </c>
      <c r="M156" s="35"/>
      <c r="N156" s="35"/>
      <c r="O156" s="35"/>
      <c r="P156" s="35"/>
      <c r="Q156" s="35" t="s">
        <v>37</v>
      </c>
      <c r="R156" s="35"/>
      <c r="S156" s="35"/>
      <c r="T156" s="35"/>
      <c r="U156" s="35"/>
      <c r="V156" s="35"/>
      <c r="W156" s="35" t="s">
        <v>37</v>
      </c>
      <c r="X156" s="35"/>
      <c r="Y156" s="35"/>
      <c r="Z156" s="35"/>
      <c r="AA156" s="35"/>
      <c r="AB156" s="35"/>
      <c r="AC156" s="35"/>
    </row>
    <row r="157" spans="1:29" ht="162">
      <c r="A157" s="36">
        <v>665</v>
      </c>
      <c r="B157" s="37" t="str">
        <f>HYPERLINK("\\intranet-fs4\市）地域振興部\14市民自治推進室\06  市民活動\◎助成・積立・取崩（基金）\00：起案：団体登録\団体情報一覧\団体概要書（更新ごと最新に）pdf\665_prof.pdf","北大金葉祭実行委員会")</f>
        <v>北大金葉祭実行委員会</v>
      </c>
      <c r="C157" s="32" t="s">
        <v>912</v>
      </c>
      <c r="D157" s="32" t="s">
        <v>913</v>
      </c>
      <c r="E157" s="38" t="str">
        <f>HYPERLINK("konyousai.jphttp://konyousai.jp","konyousai.jphttp://konyousai.jp")</f>
        <v>konyousai.jphttp://konyousai.jp</v>
      </c>
      <c r="F157" s="34" t="s">
        <v>460</v>
      </c>
      <c r="G157" s="34" t="s">
        <v>460</v>
      </c>
      <c r="H157" s="32" t="s">
        <v>914</v>
      </c>
      <c r="I157" s="32" t="s">
        <v>915</v>
      </c>
      <c r="J157" s="32" t="s">
        <v>916</v>
      </c>
      <c r="K157" s="35"/>
      <c r="L157" s="35"/>
      <c r="M157" s="35"/>
      <c r="N157" s="35" t="s">
        <v>37</v>
      </c>
      <c r="O157" s="35"/>
      <c r="P157" s="35" t="s">
        <v>37</v>
      </c>
      <c r="Q157" s="35"/>
      <c r="R157" s="35"/>
      <c r="S157" s="35"/>
      <c r="T157" s="35"/>
      <c r="U157" s="35"/>
      <c r="V157" s="35"/>
      <c r="W157" s="35"/>
      <c r="X157" s="35"/>
      <c r="Y157" s="35"/>
      <c r="Z157" s="35"/>
      <c r="AA157" s="35"/>
      <c r="AB157" s="35"/>
      <c r="AC157" s="35"/>
    </row>
    <row r="158" spans="1:29" ht="162">
      <c r="A158" s="36">
        <v>671</v>
      </c>
      <c r="B158" s="37" t="str">
        <f>HYPERLINK("\\intranet-fs4\市）地域振興部\14市民自治推進室\06  市民活動\◎助成・積立・取崩（基金）\00：起案：団体登録\団体情報一覧\団体概要書（更新ごと最新に）pdf\671_prof.pdf","座・れら")</f>
        <v>座・れら</v>
      </c>
      <c r="C158" s="32" t="s">
        <v>917</v>
      </c>
      <c r="D158" s="32" t="s">
        <v>918</v>
      </c>
      <c r="E158" s="33" t="str">
        <f>HYPERLINK("https://zarela2009.wixsite.com/za-rela","https://zarela2009.wixsite.com/za-rela")</f>
        <v>https://zarela2009.wixsite.com/za-rela</v>
      </c>
      <c r="F158" s="34" t="s">
        <v>919</v>
      </c>
      <c r="G158" s="34" t="s">
        <v>919</v>
      </c>
      <c r="H158" s="32" t="s">
        <v>920</v>
      </c>
      <c r="I158" s="32" t="s">
        <v>921</v>
      </c>
      <c r="J158" s="32" t="s">
        <v>922</v>
      </c>
      <c r="K158" s="35"/>
      <c r="L158" s="35" t="s">
        <v>37</v>
      </c>
      <c r="M158" s="35"/>
      <c r="N158" s="35"/>
      <c r="O158" s="35"/>
      <c r="P158" s="35" t="s">
        <v>37</v>
      </c>
      <c r="Q158" s="35"/>
      <c r="R158" s="35"/>
      <c r="S158" s="35"/>
      <c r="T158" s="35"/>
      <c r="U158" s="35"/>
      <c r="V158" s="35"/>
      <c r="W158" s="35" t="s">
        <v>37</v>
      </c>
      <c r="X158" s="35"/>
      <c r="Y158" s="35"/>
      <c r="Z158" s="35"/>
      <c r="AA158" s="35"/>
      <c r="AB158" s="35"/>
      <c r="AC158" s="35"/>
    </row>
    <row r="159" spans="1:29" ht="81">
      <c r="A159" s="36">
        <v>673</v>
      </c>
      <c r="B159" s="37" t="str">
        <f>HYPERLINK("\\intranet-fs4\市）地域振興部\14市民自治推進室\06  市民活動\◎助成・積立・取崩（基金）\00：起案：団体登録\団体情報一覧\団体概要書（更新ごと最新に）pdf\673_prof.pdf","SKIP")</f>
        <v>SKIP</v>
      </c>
      <c r="C159" s="32" t="s">
        <v>923</v>
      </c>
      <c r="D159" s="32" t="s">
        <v>115</v>
      </c>
      <c r="E159" s="41"/>
      <c r="F159" s="34" t="s">
        <v>727</v>
      </c>
      <c r="G159" s="34" t="s">
        <v>727</v>
      </c>
      <c r="H159" s="32" t="s">
        <v>924</v>
      </c>
      <c r="I159" s="32" t="s">
        <v>925</v>
      </c>
      <c r="J159" s="32" t="s">
        <v>926</v>
      </c>
      <c r="K159" s="35"/>
      <c r="L159" s="35"/>
      <c r="M159" s="35"/>
      <c r="N159" s="35"/>
      <c r="O159" s="35"/>
      <c r="P159" s="35"/>
      <c r="Q159" s="35"/>
      <c r="R159" s="35"/>
      <c r="S159" s="35"/>
      <c r="T159" s="35"/>
      <c r="U159" s="35"/>
      <c r="V159" s="35"/>
      <c r="W159" s="35" t="s">
        <v>37</v>
      </c>
      <c r="X159" s="35"/>
      <c r="Y159" s="35"/>
      <c r="Z159" s="35"/>
      <c r="AA159" s="35"/>
      <c r="AB159" s="35"/>
      <c r="AC159" s="35"/>
    </row>
    <row r="160" spans="1:29" ht="81">
      <c r="A160" s="36">
        <v>674</v>
      </c>
      <c r="B160" s="37" t="str">
        <f>HYPERLINK("\\intranet-fs4\市）地域振興部\14市民自治推進室\06  市民活動\◎助成・積立・取崩（基金）\00：起案：団体登録\団体情報一覧\団体概要書（更新ごと最新に）pdf\674_prof.pdf","特定非営利活動法人真駒内花火大会")</f>
        <v>特定非営利活動法人真駒内花火大会</v>
      </c>
      <c r="C160" s="32" t="s">
        <v>927</v>
      </c>
      <c r="D160" s="32" t="s">
        <v>928</v>
      </c>
      <c r="E160" s="33" t="str">
        <f>HYPERLINK("https://www.makomanai-hanabi.com/","https://www.makomanai-hanabi.com/")</f>
        <v>https://www.makomanai-hanabi.com/</v>
      </c>
      <c r="F160" s="34" t="s">
        <v>407</v>
      </c>
      <c r="G160" s="34" t="s">
        <v>407</v>
      </c>
      <c r="H160" s="32" t="s">
        <v>929</v>
      </c>
      <c r="I160" s="32" t="s">
        <v>930</v>
      </c>
      <c r="J160" s="32" t="s">
        <v>931</v>
      </c>
      <c r="K160" s="35"/>
      <c r="L160" s="35"/>
      <c r="M160" s="35" t="s">
        <v>37</v>
      </c>
      <c r="N160" s="35" t="s">
        <v>37</v>
      </c>
      <c r="O160" s="35"/>
      <c r="P160" s="35" t="s">
        <v>37</v>
      </c>
      <c r="Q160" s="35"/>
      <c r="R160" s="35"/>
      <c r="S160" s="35"/>
      <c r="T160" s="35"/>
      <c r="U160" s="35"/>
      <c r="V160" s="35"/>
      <c r="W160" s="35"/>
      <c r="X160" s="35"/>
      <c r="Y160" s="35"/>
      <c r="Z160" s="35" t="s">
        <v>37</v>
      </c>
      <c r="AA160" s="35"/>
      <c r="AB160" s="35"/>
      <c r="AC160" s="35"/>
    </row>
    <row r="161" spans="1:29" ht="121.5">
      <c r="A161" s="36">
        <v>676</v>
      </c>
      <c r="B161" s="37" t="str">
        <f>HYPERLINK("\\intranet-fs4\市）地域振興部\14市民自治推進室\06  市民活動\◎助成・積立・取崩（基金）\00：起案：団体登録\団体情報一覧\団体概要書（更新ごと最新に）pdf\676_prof.pdf","特定非営利活動法人コミュニティワーク研究実践センター")</f>
        <v>特定非営利活動法人コミュニティワーク研究実践センター</v>
      </c>
      <c r="C161" s="32" t="s">
        <v>932</v>
      </c>
      <c r="D161" s="32" t="s">
        <v>933</v>
      </c>
      <c r="E161" s="33" t="str">
        <f>HYPERLINK("http://www.cmtwork.net/","http://www.cmtwork.net/")</f>
        <v>http://www.cmtwork.net/</v>
      </c>
      <c r="F161" s="34" t="s">
        <v>276</v>
      </c>
      <c r="G161" s="34" t="s">
        <v>276</v>
      </c>
      <c r="H161" s="32" t="s">
        <v>934</v>
      </c>
      <c r="I161" s="32" t="s">
        <v>935</v>
      </c>
      <c r="J161" s="32" t="s">
        <v>936</v>
      </c>
      <c r="K161" s="35" t="s">
        <v>37</v>
      </c>
      <c r="L161" s="35" t="s">
        <v>37</v>
      </c>
      <c r="M161" s="35" t="s">
        <v>37</v>
      </c>
      <c r="N161" s="35" t="s">
        <v>37</v>
      </c>
      <c r="O161" s="35" t="s">
        <v>37</v>
      </c>
      <c r="P161" s="35" t="s">
        <v>37</v>
      </c>
      <c r="Q161" s="35"/>
      <c r="R161" s="35"/>
      <c r="S161" s="35"/>
      <c r="T161" s="35"/>
      <c r="U161" s="35"/>
      <c r="V161" s="35" t="s">
        <v>37</v>
      </c>
      <c r="W161" s="35" t="s">
        <v>37</v>
      </c>
      <c r="X161" s="35"/>
      <c r="Y161" s="35"/>
      <c r="Z161" s="35" t="s">
        <v>37</v>
      </c>
      <c r="AA161" s="35" t="s">
        <v>37</v>
      </c>
      <c r="AB161" s="35"/>
      <c r="AC161" s="35" t="s">
        <v>37</v>
      </c>
    </row>
    <row r="162" spans="1:29" ht="94.5">
      <c r="A162" s="36">
        <v>678</v>
      </c>
      <c r="B162" s="37" t="str">
        <f>HYPERLINK("\\intranet-fs4\市）地域振興部\14市民自治推進室\06  市民活動\◎助成・積立・取崩（基金）\00：起案：団体登録\団体情報一覧\団体概要書（更新ごと最新に）pdf\678_prof.pdf","子育て支援ワーカーズ　「べりぃべりぃ」")</f>
        <v>子育て支援ワーカーズ　「べりぃべりぃ」</v>
      </c>
      <c r="C162" s="32" t="s">
        <v>937</v>
      </c>
      <c r="D162" s="32" t="s">
        <v>938</v>
      </c>
      <c r="E162" s="41"/>
      <c r="F162" s="34" t="s">
        <v>126</v>
      </c>
      <c r="G162" s="34" t="s">
        <v>126</v>
      </c>
      <c r="H162" s="32" t="s">
        <v>939</v>
      </c>
      <c r="I162" s="32" t="s">
        <v>940</v>
      </c>
      <c r="J162" s="32" t="s">
        <v>941</v>
      </c>
      <c r="K162" s="35" t="s">
        <v>37</v>
      </c>
      <c r="L162" s="35"/>
      <c r="M162" s="35"/>
      <c r="N162" s="35"/>
      <c r="O162" s="35"/>
      <c r="P162" s="35"/>
      <c r="Q162" s="35"/>
      <c r="R162" s="35"/>
      <c r="S162" s="35"/>
      <c r="T162" s="35"/>
      <c r="U162" s="35"/>
      <c r="V162" s="35"/>
      <c r="W162" s="35" t="s">
        <v>37</v>
      </c>
      <c r="X162" s="35"/>
      <c r="Y162" s="35"/>
      <c r="Z162" s="35"/>
      <c r="AA162" s="35"/>
      <c r="AB162" s="35"/>
      <c r="AC162" s="35"/>
    </row>
    <row r="163" spans="1:29" ht="409.5">
      <c r="A163" s="36">
        <v>679</v>
      </c>
      <c r="B163" s="37" t="str">
        <f>HYPERLINK("\\intranet-fs4\市）地域振興部\14市民自治推進室\06  市民活動\◎助成・積立・取崩（基金）\00：起案：団体登録\団体情報一覧\団体概要書（更新ごと最新に）pdf\679_prof.pdf","特定非営利活動法人　勇者の会")</f>
        <v>特定非営利活動法人　勇者の会</v>
      </c>
      <c r="C163" s="32" t="s">
        <v>942</v>
      </c>
      <c r="D163" s="32" t="s">
        <v>39</v>
      </c>
      <c r="E163" s="33" t="str">
        <f>HYPERLINK("https://yusyanokai464923.wixsite.com/yushayusha","https://yusyanokai464923.wixsite.com/yushayusha")</f>
        <v>https://yusyanokai464923.wixsite.com/yushayusha</v>
      </c>
      <c r="F163" s="34" t="s">
        <v>943</v>
      </c>
      <c r="G163" s="34" t="s">
        <v>944</v>
      </c>
      <c r="H163" s="32" t="s">
        <v>945</v>
      </c>
      <c r="I163" s="32" t="s">
        <v>946</v>
      </c>
      <c r="J163" s="32" t="s">
        <v>947</v>
      </c>
      <c r="K163" s="35" t="s">
        <v>37</v>
      </c>
      <c r="L163" s="35"/>
      <c r="M163" s="35"/>
      <c r="N163" s="35"/>
      <c r="O163" s="35"/>
      <c r="P163" s="35"/>
      <c r="Q163" s="35"/>
      <c r="R163" s="35"/>
      <c r="S163" s="35"/>
      <c r="T163" s="35"/>
      <c r="U163" s="35"/>
      <c r="V163" s="35"/>
      <c r="W163" s="35" t="s">
        <v>37</v>
      </c>
      <c r="X163" s="35"/>
      <c r="Y163" s="35"/>
      <c r="Z163" s="35"/>
      <c r="AA163" s="35"/>
      <c r="AB163" s="35"/>
      <c r="AC163" s="35"/>
    </row>
    <row r="164" spans="1:29" ht="108">
      <c r="A164" s="36">
        <v>681</v>
      </c>
      <c r="B164" s="37" t="str">
        <f>HYPERLINK("\\intranet-fs4\市）地域振興部\14市民自治推進室\06  市民活動\◎助成・積立・取崩（基金）\00：起案：団体登録\団体情報一覧\団体概要書（更新ごと最新に）pdf\681_prof.pdf","holoholo")</f>
        <v>holoholo</v>
      </c>
      <c r="C164" s="32" t="s">
        <v>948</v>
      </c>
      <c r="D164" s="32" t="s">
        <v>949</v>
      </c>
      <c r="E164" s="33" t="str">
        <f>HYPERLINK("http://holoholo.hvlb.org","http://holoholo.hvlb.org")</f>
        <v>http://holoholo.hvlb.org</v>
      </c>
      <c r="F164" s="34" t="s">
        <v>313</v>
      </c>
      <c r="G164" s="34" t="s">
        <v>313</v>
      </c>
      <c r="H164" s="32" t="s">
        <v>950</v>
      </c>
      <c r="I164" s="32" t="s">
        <v>951</v>
      </c>
      <c r="J164" s="32" t="s">
        <v>952</v>
      </c>
      <c r="K164" s="35"/>
      <c r="L164" s="35"/>
      <c r="M164" s="35"/>
      <c r="N164" s="35"/>
      <c r="O164" s="35"/>
      <c r="P164" s="35"/>
      <c r="Q164" s="35"/>
      <c r="R164" s="35"/>
      <c r="S164" s="35"/>
      <c r="T164" s="35" t="s">
        <v>37</v>
      </c>
      <c r="U164" s="35"/>
      <c r="V164" s="35" t="s">
        <v>37</v>
      </c>
      <c r="W164" s="35" t="s">
        <v>37</v>
      </c>
      <c r="X164" s="35"/>
      <c r="Y164" s="35"/>
      <c r="Z164" s="35"/>
      <c r="AA164" s="35"/>
      <c r="AB164" s="35"/>
      <c r="AC164" s="35"/>
    </row>
    <row r="165" spans="1:29" ht="148.5">
      <c r="A165" s="36">
        <v>685</v>
      </c>
      <c r="B165" s="37" t="str">
        <f>HYPERLINK("\\intranet-fs4\市）地域振興部\14市民自治推進室\06  市民活動\◎助成・積立・取崩（基金）\00：起案：団体登録\団体情報一覧\団体概要書（更新ごと最新に）pdf\685_prof.pdf","特定非営利活動法人はる")</f>
        <v>特定非営利活動法人はる</v>
      </c>
      <c r="C165" s="32" t="s">
        <v>953</v>
      </c>
      <c r="D165" s="32" t="s">
        <v>66</v>
      </c>
      <c r="E165" s="33" t="str">
        <f>HYPERLINK("erik-h.com/haru-edu.jphttp://erik-h.com/haru-edu.jp","erik-h.com/haru-edu.jphttp://erik-h.com/haru-edu.jp")</f>
        <v>erik-h.com/haru-edu.jphttp://erik-h.com/haru-edu.jp</v>
      </c>
      <c r="F165" s="34" t="s">
        <v>954</v>
      </c>
      <c r="G165" s="34" t="s">
        <v>955</v>
      </c>
      <c r="H165" s="32" t="s">
        <v>956</v>
      </c>
      <c r="I165" s="32" t="s">
        <v>957</v>
      </c>
      <c r="J165" s="32" t="s">
        <v>958</v>
      </c>
      <c r="K165" s="35" t="s">
        <v>37</v>
      </c>
      <c r="L165" s="35" t="s">
        <v>37</v>
      </c>
      <c r="M165" s="35" t="s">
        <v>37</v>
      </c>
      <c r="N165" s="35"/>
      <c r="O165" s="35"/>
      <c r="P165" s="35"/>
      <c r="Q165" s="35"/>
      <c r="R165" s="35"/>
      <c r="S165" s="35"/>
      <c r="T165" s="35"/>
      <c r="U165" s="35"/>
      <c r="V165" s="35"/>
      <c r="W165" s="35" t="s">
        <v>37</v>
      </c>
      <c r="X165" s="35"/>
      <c r="Y165" s="35"/>
      <c r="Z165" s="35"/>
      <c r="AA165" s="35" t="s">
        <v>37</v>
      </c>
      <c r="AB165" s="35"/>
      <c r="AC165" s="35"/>
    </row>
    <row r="166" spans="1:29" ht="162">
      <c r="A166" s="36">
        <v>686</v>
      </c>
      <c r="B166" s="37" t="str">
        <f>HYPERLINK("\\intranet-fs4\市）地域振興部\14市民自治推進室\06  市民活動\◎助成・積立・取崩（基金）\00：起案：団体登録\団体情報一覧\団体概要書（更新ごと最新に）pdf\686_prof.pdf","特定非営利活動法人ねっこぼっこのいえ")</f>
        <v>特定非営利活動法人ねっこぼっこのいえ</v>
      </c>
      <c r="C166" s="32" t="s">
        <v>959</v>
      </c>
      <c r="D166" s="32" t="s">
        <v>960</v>
      </c>
      <c r="E166" s="33" t="str">
        <f>HYPERLINK("https://www.nekko-bokko.com","https://www.nekko-bokko.com")</f>
        <v>https://www.nekko-bokko.com</v>
      </c>
      <c r="F166" s="34" t="s">
        <v>805</v>
      </c>
      <c r="G166" s="34" t="s">
        <v>258</v>
      </c>
      <c r="H166" s="32" t="s">
        <v>961</v>
      </c>
      <c r="I166" s="32" t="s">
        <v>962</v>
      </c>
      <c r="J166" s="32" t="s">
        <v>963</v>
      </c>
      <c r="K166" s="35" t="s">
        <v>37</v>
      </c>
      <c r="L166" s="35" t="s">
        <v>37</v>
      </c>
      <c r="M166" s="35" t="s">
        <v>37</v>
      </c>
      <c r="N166" s="35"/>
      <c r="O166" s="35"/>
      <c r="P166" s="35" t="s">
        <v>37</v>
      </c>
      <c r="Q166" s="35"/>
      <c r="R166" s="35"/>
      <c r="S166" s="35"/>
      <c r="T166" s="35" t="s">
        <v>37</v>
      </c>
      <c r="U166" s="35"/>
      <c r="V166" s="35" t="s">
        <v>37</v>
      </c>
      <c r="W166" s="35" t="s">
        <v>37</v>
      </c>
      <c r="X166" s="35"/>
      <c r="Y166" s="35"/>
      <c r="Z166" s="35"/>
      <c r="AA166" s="35" t="s">
        <v>37</v>
      </c>
      <c r="AB166" s="35"/>
      <c r="AC166" s="35" t="s">
        <v>37</v>
      </c>
    </row>
    <row r="167" spans="1:29" ht="108">
      <c r="A167" s="36">
        <v>687</v>
      </c>
      <c r="B167" s="37" t="str">
        <f>HYPERLINK("\\intranet-fs4\市）地域振興部\14市民自治推進室\06  市民活動\◎助成・積立・取崩（基金）\00：起案：団体登録\団体情報一覧\団体概要書（更新ごと最新に）pdf\687_prof.pdf","特定非営利活動法人E-LINK")</f>
        <v>特定非営利活動法人E-LINK</v>
      </c>
      <c r="C167" s="32" t="s">
        <v>964</v>
      </c>
      <c r="D167" s="32" t="s">
        <v>965</v>
      </c>
      <c r="E167" s="33" t="str">
        <f>HYPERLINK("https://adventureclubsapporo.com/","https://adventureclubsapporo.com/")</f>
        <v>https://adventureclubsapporo.com/</v>
      </c>
      <c r="F167" s="34" t="s">
        <v>966</v>
      </c>
      <c r="G167" s="34" t="s">
        <v>812</v>
      </c>
      <c r="H167" s="32" t="s">
        <v>967</v>
      </c>
      <c r="I167" s="32" t="s">
        <v>968</v>
      </c>
      <c r="J167" s="32" t="s">
        <v>969</v>
      </c>
      <c r="K167" s="35"/>
      <c r="L167" s="35" t="s">
        <v>37</v>
      </c>
      <c r="M167" s="35" t="s">
        <v>37</v>
      </c>
      <c r="N167" s="35"/>
      <c r="O167" s="35"/>
      <c r="P167" s="35"/>
      <c r="Q167" s="35"/>
      <c r="R167" s="35"/>
      <c r="S167" s="35"/>
      <c r="T167" s="35"/>
      <c r="U167" s="35"/>
      <c r="V167" s="35"/>
      <c r="W167" s="35" t="s">
        <v>37</v>
      </c>
      <c r="X167" s="35"/>
      <c r="Y167" s="35"/>
      <c r="Z167" s="35"/>
      <c r="AA167" s="35"/>
      <c r="AB167" s="35"/>
      <c r="AC167" s="35"/>
    </row>
    <row r="168" spans="1:29" ht="81">
      <c r="A168" s="36">
        <v>690</v>
      </c>
      <c r="B168" s="37" t="str">
        <f>HYPERLINK("\\intranet-fs4\市）地域振興部\14市民自治推進室\06  市民活動\◎助成・積立・取崩（基金）\00：起案：団体登録\団体情報一覧\団体概要書（更新ごと最新に）pdf\690_prof.pdf","「和の心を子ども達へ、未来へ！」実行委員会")</f>
        <v>「和の心を子ども達へ、未来へ！」実行委員会</v>
      </c>
      <c r="C168" s="32" t="s">
        <v>970</v>
      </c>
      <c r="D168" s="32" t="s">
        <v>79</v>
      </c>
      <c r="E168" s="38" t="str">
        <f>HYPERLINK("https://www.tam-p.jp/wkkm/","https://www.tam-p.jp/wkkm/")</f>
        <v>https://www.tam-p.jp/wkkm/</v>
      </c>
      <c r="F168" s="34" t="s">
        <v>971</v>
      </c>
      <c r="G168" s="34" t="s">
        <v>972</v>
      </c>
      <c r="H168" s="32" t="s">
        <v>973</v>
      </c>
      <c r="I168" s="32" t="s">
        <v>974</v>
      </c>
      <c r="J168" s="32" t="s">
        <v>975</v>
      </c>
      <c r="K168" s="35"/>
      <c r="L168" s="35"/>
      <c r="M168" s="35"/>
      <c r="N168" s="35"/>
      <c r="O168" s="35"/>
      <c r="P168" s="35" t="s">
        <v>37</v>
      </c>
      <c r="Q168" s="35"/>
      <c r="R168" s="35"/>
      <c r="S168" s="35"/>
      <c r="T168" s="35"/>
      <c r="U168" s="35"/>
      <c r="V168" s="35"/>
      <c r="W168" s="35" t="s">
        <v>37</v>
      </c>
      <c r="X168" s="35"/>
      <c r="Y168" s="35"/>
      <c r="Z168" s="35"/>
      <c r="AA168" s="35"/>
      <c r="AB168" s="35"/>
      <c r="AC168" s="35"/>
    </row>
    <row r="169" spans="1:29" ht="175.5">
      <c r="A169" s="36">
        <v>691</v>
      </c>
      <c r="B169" s="37" t="str">
        <f>HYPERLINK("\\intranet-fs4\市）地域振興部\14市民自治推進室\06  市民活動\◎助成・積立・取崩（基金）\00：起案：団体登録\団体情報一覧\団体概要書（更新ごと最新に）pdf\691_prof.pdf","特定非営利活動法人訪問型フリースクール漂流教室")</f>
        <v>特定非営利活動法人訪問型フリースクール漂流教室</v>
      </c>
      <c r="C169" s="32" t="s">
        <v>976</v>
      </c>
      <c r="D169" s="32" t="s">
        <v>977</v>
      </c>
      <c r="E169" s="33" t="str">
        <f>HYPERLINK("http://hyouryu.com","http://hyouryu.com")</f>
        <v>http://hyouryu.com</v>
      </c>
      <c r="F169" s="34" t="s">
        <v>978</v>
      </c>
      <c r="G169" s="34" t="s">
        <v>228</v>
      </c>
      <c r="H169" s="32" t="s">
        <v>979</v>
      </c>
      <c r="I169" s="32" t="s">
        <v>980</v>
      </c>
      <c r="J169" s="32" t="s">
        <v>981</v>
      </c>
      <c r="K169" s="35" t="s">
        <v>37</v>
      </c>
      <c r="L169" s="35" t="s">
        <v>37</v>
      </c>
      <c r="M169" s="35" t="s">
        <v>37</v>
      </c>
      <c r="N169" s="35"/>
      <c r="O169" s="35"/>
      <c r="P169" s="35"/>
      <c r="Q169" s="35"/>
      <c r="R169" s="35"/>
      <c r="S169" s="35"/>
      <c r="T169" s="35"/>
      <c r="U169" s="35"/>
      <c r="V169" s="35"/>
      <c r="W169" s="35" t="s">
        <v>37</v>
      </c>
      <c r="X169" s="35"/>
      <c r="Y169" s="35"/>
      <c r="Z169" s="35"/>
      <c r="AA169" s="35" t="s">
        <v>37</v>
      </c>
      <c r="AB169" s="35"/>
      <c r="AC169" s="35" t="s">
        <v>37</v>
      </c>
    </row>
    <row r="170" spans="1:29" ht="108">
      <c r="A170" s="36">
        <v>694</v>
      </c>
      <c r="B170" s="37" t="str">
        <f>HYPERLINK("\\intranet-fs4\市）地域振興部\14市民自治推進室\06  市民活動\◎助成・積立・取崩（基金）\00：起案：団体登録\団体情報一覧\団体概要書（更新ごと最新に）pdf\694_prof.pdf","NPO法人ニャン友ねっとわーく北海道")</f>
        <v>NPO法人ニャン友ねっとわーく北海道</v>
      </c>
      <c r="C170" s="32" t="s">
        <v>982</v>
      </c>
      <c r="D170" s="32" t="s">
        <v>79</v>
      </c>
      <c r="E170" s="38" t="str">
        <f>HYPERLINK("https://nyantomo.jp","https://nyantomo.jp")</f>
        <v>https://nyantomo.jp</v>
      </c>
      <c r="F170" s="34" t="s">
        <v>983</v>
      </c>
      <c r="G170" s="34" t="s">
        <v>438</v>
      </c>
      <c r="H170" s="32" t="s">
        <v>984</v>
      </c>
      <c r="I170" s="32" t="s">
        <v>985</v>
      </c>
      <c r="J170" s="32" t="s">
        <v>986</v>
      </c>
      <c r="K170" s="35" t="s">
        <v>37</v>
      </c>
      <c r="L170" s="35" t="s">
        <v>37</v>
      </c>
      <c r="M170" s="35" t="s">
        <v>37</v>
      </c>
      <c r="N170" s="35"/>
      <c r="O170" s="35"/>
      <c r="P170" s="35"/>
      <c r="Q170" s="35" t="s">
        <v>37</v>
      </c>
      <c r="R170" s="35"/>
      <c r="S170" s="35"/>
      <c r="T170" s="35"/>
      <c r="U170" s="35"/>
      <c r="V170" s="35"/>
      <c r="W170" s="35" t="s">
        <v>37</v>
      </c>
      <c r="X170" s="35"/>
      <c r="Y170" s="35"/>
      <c r="Z170" s="35"/>
      <c r="AA170" s="35"/>
      <c r="AB170" s="35"/>
      <c r="AC170" s="35"/>
    </row>
    <row r="171" spans="1:29" ht="283.5">
      <c r="A171" s="36">
        <v>696</v>
      </c>
      <c r="B171" s="37" t="str">
        <f>HYPERLINK("\\intranet-fs4\市）地域振興部\14市民自治推進室\06  市民活動\◎助成・積立・取崩（基金）\00：起案：団体登録\団体情報一覧\団体概要書（更新ごと最新に）pdf\696_prof.pdf","特定非営利活動法人こども共育サポートセンター")</f>
        <v>特定非営利活動法人こども共育サポートセンター</v>
      </c>
      <c r="C171" s="32" t="s">
        <v>987</v>
      </c>
      <c r="D171" s="32" t="s">
        <v>988</v>
      </c>
      <c r="E171" s="33" t="str">
        <f>HYPERLINK("https://kodomokyouiku.org/","https://kodomokyouiku.org/")</f>
        <v>https://kodomokyouiku.org/</v>
      </c>
      <c r="F171" s="34" t="s">
        <v>989</v>
      </c>
      <c r="G171" s="34" t="s">
        <v>989</v>
      </c>
      <c r="H171" s="32" t="s">
        <v>990</v>
      </c>
      <c r="I171" s="32" t="s">
        <v>991</v>
      </c>
      <c r="J171" s="32" t="s">
        <v>992</v>
      </c>
      <c r="K171" s="35"/>
      <c r="L171" s="35" t="s">
        <v>37</v>
      </c>
      <c r="M171" s="35"/>
      <c r="N171" s="35"/>
      <c r="O171" s="35" t="s">
        <v>37</v>
      </c>
      <c r="P171" s="35" t="s">
        <v>37</v>
      </c>
      <c r="Q171" s="35" t="s">
        <v>37</v>
      </c>
      <c r="R171" s="35" t="s">
        <v>37</v>
      </c>
      <c r="S171" s="35"/>
      <c r="T171" s="35"/>
      <c r="U171" s="35"/>
      <c r="V171" s="35"/>
      <c r="W171" s="35" t="s">
        <v>37</v>
      </c>
      <c r="X171" s="35"/>
      <c r="Y171" s="35"/>
      <c r="Z171" s="35"/>
      <c r="AA171" s="35" t="s">
        <v>37</v>
      </c>
      <c r="AB171" s="35"/>
      <c r="AC171" s="35" t="s">
        <v>37</v>
      </c>
    </row>
    <row r="172" spans="1:29" ht="135">
      <c r="A172" s="36">
        <v>698</v>
      </c>
      <c r="B172" s="37" t="str">
        <f>HYPERLINK("\\intranet-fs4\市）地域振興部\14市民自治推進室\06  市民活動\◎助成・積立・取崩（基金）\00：起案：団体登録\団体情報一覧\団体概要書（更新ごと最新に）pdf\698_prof.pdf","特定非営利活動法人子どもの未来・にじ色プレイス")</f>
        <v>特定非営利活動法人子どもの未来・にじ色プレイス</v>
      </c>
      <c r="C172" s="32" t="s">
        <v>993</v>
      </c>
      <c r="D172" s="32" t="s">
        <v>960</v>
      </c>
      <c r="E172" s="33" t="str">
        <f>HYPERLINK("https://nijiiro-place.com/","https://nijiiro-place.com/")</f>
        <v>https://nijiiro-place.com/</v>
      </c>
      <c r="F172" s="34" t="s">
        <v>994</v>
      </c>
      <c r="G172" s="34" t="s">
        <v>954</v>
      </c>
      <c r="H172" s="32" t="s">
        <v>995</v>
      </c>
      <c r="I172" s="32" t="s">
        <v>996</v>
      </c>
      <c r="J172" s="32" t="s">
        <v>997</v>
      </c>
      <c r="K172" s="35"/>
      <c r="L172" s="35" t="s">
        <v>37</v>
      </c>
      <c r="M172" s="35" t="s">
        <v>37</v>
      </c>
      <c r="N172" s="35"/>
      <c r="O172" s="35"/>
      <c r="P172" s="35"/>
      <c r="Q172" s="35"/>
      <c r="R172" s="35"/>
      <c r="S172" s="35" t="s">
        <v>37</v>
      </c>
      <c r="T172" s="35"/>
      <c r="U172" s="35"/>
      <c r="V172" s="35"/>
      <c r="W172" s="35" t="s">
        <v>37</v>
      </c>
      <c r="X172" s="35"/>
      <c r="Y172" s="35"/>
      <c r="Z172" s="35"/>
      <c r="AA172" s="35" t="s">
        <v>37</v>
      </c>
      <c r="AB172" s="35"/>
      <c r="AC172" s="35" t="s">
        <v>37</v>
      </c>
    </row>
    <row r="173" spans="1:29" ht="243">
      <c r="A173" s="36">
        <v>704</v>
      </c>
      <c r="B173" s="37" t="str">
        <f>HYPERLINK("\\intranet-fs4\市）地域振興部\14市民自治推進室\06  市民活動\◎助成・積立・取崩（基金）\00：起案：団体登録\団体情報一覧\団体概要書（更新ごと最新に）pdf\704_prof.pdf","一般社団法人北海道精神障害者家族連合会")</f>
        <v>一般社団法人北海道精神障害者家族連合会</v>
      </c>
      <c r="C173" s="32" t="s">
        <v>998</v>
      </c>
      <c r="D173" s="32" t="s">
        <v>470</v>
      </c>
      <c r="E173" s="33" t="str">
        <f>HYPERLINK("https://hokkaren.com/","https://hokkaren.com/")</f>
        <v>https://hokkaren.com/</v>
      </c>
      <c r="F173" s="34" t="s">
        <v>999</v>
      </c>
      <c r="G173" s="34" t="s">
        <v>999</v>
      </c>
      <c r="H173" s="32" t="s">
        <v>1000</v>
      </c>
      <c r="I173" s="32" t="s">
        <v>1001</v>
      </c>
      <c r="J173" s="32" t="s">
        <v>1002</v>
      </c>
      <c r="K173" s="35" t="s">
        <v>37</v>
      </c>
      <c r="L173" s="35"/>
      <c r="M173" s="35"/>
      <c r="N173" s="35"/>
      <c r="O173" s="35"/>
      <c r="P173" s="35"/>
      <c r="Q173" s="35"/>
      <c r="R173" s="35"/>
      <c r="S173" s="35"/>
      <c r="T173" s="35" t="s">
        <v>37</v>
      </c>
      <c r="U173" s="35"/>
      <c r="V173" s="35"/>
      <c r="W173" s="35"/>
      <c r="X173" s="35"/>
      <c r="Y173" s="35"/>
      <c r="Z173" s="35"/>
      <c r="AA173" s="35" t="s">
        <v>37</v>
      </c>
      <c r="AB173" s="35"/>
      <c r="AC173" s="35" t="s">
        <v>37</v>
      </c>
    </row>
    <row r="174" spans="1:29" ht="94.5">
      <c r="A174" s="36">
        <v>706</v>
      </c>
      <c r="B174" s="37" t="str">
        <f>HYPERLINK("\\intranet-fs4\市）地域振興部\14市民自治推進室\06  市民活動\◎助成・積立・取崩（基金）\00：起案：団体登録\団体情報一覧\団体概要書（更新ごと最新に）pdf\706_prof.pdf","特定非営利活動法人三角山")</f>
        <v>特定非営利活動法人三角山</v>
      </c>
      <c r="C174" s="32" t="s">
        <v>1003</v>
      </c>
      <c r="D174" s="32" t="s">
        <v>1004</v>
      </c>
      <c r="E174" s="41"/>
      <c r="F174" s="34" t="s">
        <v>1005</v>
      </c>
      <c r="G174" s="34" t="s">
        <v>1005</v>
      </c>
      <c r="H174" s="32" t="s">
        <v>1006</v>
      </c>
      <c r="I174" s="32" t="s">
        <v>1007</v>
      </c>
      <c r="J174" s="32" t="s">
        <v>1008</v>
      </c>
      <c r="K174" s="35" t="s">
        <v>37</v>
      </c>
      <c r="L174" s="35" t="s">
        <v>37</v>
      </c>
      <c r="M174" s="35" t="s">
        <v>37</v>
      </c>
      <c r="N174" s="35"/>
      <c r="O174" s="35"/>
      <c r="P174" s="35" t="s">
        <v>37</v>
      </c>
      <c r="Q174" s="35" t="s">
        <v>37</v>
      </c>
      <c r="R174" s="35"/>
      <c r="S174" s="35"/>
      <c r="T174" s="35" t="s">
        <v>37</v>
      </c>
      <c r="U174" s="35"/>
      <c r="V174" s="35" t="s">
        <v>37</v>
      </c>
      <c r="W174" s="35" t="s">
        <v>37</v>
      </c>
      <c r="X174" s="35"/>
      <c r="Y174" s="35"/>
      <c r="Z174" s="35"/>
      <c r="AA174" s="35" t="s">
        <v>37</v>
      </c>
      <c r="AB174" s="35"/>
      <c r="AC174" s="35"/>
    </row>
    <row r="175" spans="1:29" ht="189">
      <c r="A175" s="36">
        <v>707</v>
      </c>
      <c r="B175" s="37" t="str">
        <f>HYPERLINK("\\intranet-fs4\市）地域振興部\14市民自治推進室\06  市民活動\◎助成・積立・取崩（基金）\00：起案：団体登録\団体情報一覧\団体概要書（更新ごと最新に）pdf\707_prof.pdf","特定非営利活動法人　手と手")</f>
        <v>特定非営利活動法人　手と手</v>
      </c>
      <c r="C175" s="32" t="s">
        <v>1009</v>
      </c>
      <c r="D175" s="32" t="s">
        <v>79</v>
      </c>
      <c r="E175" s="33" t="str">
        <f>HYPERLINK("http://tetote.org/index.html","http://tetote.org/index.html")</f>
        <v>http://tetote.org/index.html</v>
      </c>
      <c r="F175" s="34" t="s">
        <v>132</v>
      </c>
      <c r="G175" s="34" t="s">
        <v>1010</v>
      </c>
      <c r="H175" s="32" t="s">
        <v>1011</v>
      </c>
      <c r="I175" s="32" t="s">
        <v>1012</v>
      </c>
      <c r="J175" s="32" t="s">
        <v>1013</v>
      </c>
      <c r="K175" s="35" t="s">
        <v>37</v>
      </c>
      <c r="L175" s="35"/>
      <c r="M175" s="35" t="s">
        <v>37</v>
      </c>
      <c r="N175" s="35" t="s">
        <v>37</v>
      </c>
      <c r="O175" s="35" t="s">
        <v>37</v>
      </c>
      <c r="P175" s="35" t="s">
        <v>37</v>
      </c>
      <c r="Q175" s="35" t="s">
        <v>37</v>
      </c>
      <c r="R175" s="35" t="s">
        <v>37</v>
      </c>
      <c r="S175" s="35" t="s">
        <v>37</v>
      </c>
      <c r="T175" s="35" t="s">
        <v>37</v>
      </c>
      <c r="U175" s="35" t="s">
        <v>37</v>
      </c>
      <c r="V175" s="35" t="s">
        <v>37</v>
      </c>
      <c r="W175" s="35" t="s">
        <v>37</v>
      </c>
      <c r="X175" s="35" t="s">
        <v>37</v>
      </c>
      <c r="Y175" s="35" t="s">
        <v>37</v>
      </c>
      <c r="Z175" s="35" t="s">
        <v>37</v>
      </c>
      <c r="AA175" s="35" t="s">
        <v>37</v>
      </c>
      <c r="AB175" s="35" t="s">
        <v>37</v>
      </c>
      <c r="AC175" s="35" t="s">
        <v>37</v>
      </c>
    </row>
    <row r="176" spans="1:29" ht="337.5">
      <c r="A176" s="36">
        <v>708</v>
      </c>
      <c r="B176" s="37" t="str">
        <f>HYPERLINK("\\intranet-fs4\市）地域振興部\14市民自治推進室\06  市民活動\◎助成・積立・取崩（基金）\00：起案：団体登録\団体情報一覧\団体概要書（更新ごと最新に）pdf\708_prof.pdf","特定非営利活動法人藻岩山きのこ観察会")</f>
        <v>特定非営利活動法人藻岩山きのこ観察会</v>
      </c>
      <c r="C176" s="32" t="s">
        <v>1014</v>
      </c>
      <c r="D176" s="32" t="s">
        <v>1015</v>
      </c>
      <c r="E176" s="33" t="str">
        <f>HYPERLINK("https://moiwakinoko.sakura.ne.jp","https://moiwakinoko.sakura.ne.jp")</f>
        <v>https://moiwakinoko.sakura.ne.jp</v>
      </c>
      <c r="F176" s="34" t="s">
        <v>132</v>
      </c>
      <c r="G176" s="34" t="s">
        <v>132</v>
      </c>
      <c r="H176" s="32" t="s">
        <v>1016</v>
      </c>
      <c r="I176" s="32" t="s">
        <v>1017</v>
      </c>
      <c r="J176" s="32" t="s">
        <v>1018</v>
      </c>
      <c r="K176" s="35"/>
      <c r="L176" s="35"/>
      <c r="M176" s="35" t="s">
        <v>37</v>
      </c>
      <c r="N176" s="35"/>
      <c r="O176" s="35"/>
      <c r="P176" s="35"/>
      <c r="Q176" s="35" t="s">
        <v>37</v>
      </c>
      <c r="R176" s="35"/>
      <c r="S176" s="35"/>
      <c r="T176" s="35"/>
      <c r="U176" s="35"/>
      <c r="V176" s="35"/>
      <c r="W176" s="35" t="s">
        <v>37</v>
      </c>
      <c r="X176" s="35"/>
      <c r="Y176" s="35"/>
      <c r="Z176" s="35"/>
      <c r="AA176" s="35"/>
      <c r="AB176" s="35"/>
      <c r="AC176" s="35" t="s">
        <v>37</v>
      </c>
    </row>
    <row r="177" spans="1:29" ht="81">
      <c r="A177" s="36">
        <v>709</v>
      </c>
      <c r="B177" s="37" t="str">
        <f>HYPERLINK("\\intranet-fs4\市）地域振興部\14市民自治推進室\06  市民活動\◎助成・積立・取崩（基金）\00：起案：団体登録\団体情報一覧\団体概要書（更新ごと最新に）pdf\709_prof.pdf","子どもの笑顔　未来プロジェクト　先輩の風")</f>
        <v>子どもの笑顔　未来プロジェクト　先輩の風</v>
      </c>
      <c r="C177" s="32" t="s">
        <v>1019</v>
      </c>
      <c r="D177" s="32" t="s">
        <v>257</v>
      </c>
      <c r="E177" s="41"/>
      <c r="F177" s="34" t="s">
        <v>1020</v>
      </c>
      <c r="G177" s="34" t="s">
        <v>1020</v>
      </c>
      <c r="H177" s="32" t="s">
        <v>1021</v>
      </c>
      <c r="I177" s="32" t="s">
        <v>1022</v>
      </c>
      <c r="J177" s="32" t="s">
        <v>1023</v>
      </c>
      <c r="K177" s="35" t="s">
        <v>37</v>
      </c>
      <c r="L177" s="35"/>
      <c r="M177" s="35"/>
      <c r="N177" s="35"/>
      <c r="O177" s="35"/>
      <c r="P177" s="35"/>
      <c r="Q177" s="35" t="s">
        <v>37</v>
      </c>
      <c r="R177" s="35"/>
      <c r="S177" s="35"/>
      <c r="T177" s="35"/>
      <c r="U177" s="35"/>
      <c r="V177" s="35"/>
      <c r="W177" s="35" t="s">
        <v>37</v>
      </c>
      <c r="X177" s="35"/>
      <c r="Y177" s="35"/>
      <c r="Z177" s="35"/>
      <c r="AA177" s="35"/>
      <c r="AB177" s="35"/>
      <c r="AC177" s="35"/>
    </row>
    <row r="178" spans="1:29" ht="81">
      <c r="A178" s="36">
        <v>710</v>
      </c>
      <c r="B178" s="37" t="str">
        <f>HYPERLINK("\\intranet-fs4\市）地域振興部\14市民自治推進室\06  市民活動\◎助成・積立・取崩（基金）\00：起案：団体登録\団体情報一覧\団体概要書（更新ごと最新に）pdf\710_prof.pdf","平岸ふるさと会")</f>
        <v>平岸ふるさと会</v>
      </c>
      <c r="C178" s="32" t="s">
        <v>1024</v>
      </c>
      <c r="D178" s="32" t="s">
        <v>1025</v>
      </c>
      <c r="E178" s="41"/>
      <c r="F178" s="34" t="s">
        <v>1026</v>
      </c>
      <c r="G178" s="34" t="s">
        <v>1026</v>
      </c>
      <c r="H178" s="32" t="s">
        <v>1027</v>
      </c>
      <c r="I178" s="32" t="s">
        <v>1028</v>
      </c>
      <c r="J178" s="32" t="s">
        <v>1029</v>
      </c>
      <c r="K178" s="35"/>
      <c r="L178" s="35"/>
      <c r="M178" s="35" t="s">
        <v>37</v>
      </c>
      <c r="N178" s="35"/>
      <c r="O178" s="35"/>
      <c r="P178" s="35" t="s">
        <v>37</v>
      </c>
      <c r="Q178" s="35"/>
      <c r="R178" s="35"/>
      <c r="S178" s="35"/>
      <c r="T178" s="35"/>
      <c r="U178" s="35"/>
      <c r="V178" s="35"/>
      <c r="W178" s="35" t="s">
        <v>37</v>
      </c>
      <c r="X178" s="35"/>
      <c r="Y178" s="35"/>
      <c r="Z178" s="35" t="s">
        <v>37</v>
      </c>
      <c r="AA178" s="35"/>
      <c r="AB178" s="35"/>
      <c r="AC178" s="35"/>
    </row>
    <row r="179" spans="1:29" ht="202.5">
      <c r="A179" s="36">
        <v>711</v>
      </c>
      <c r="B179" s="37" t="str">
        <f>HYPERLINK("\\intranet-fs4\市）地域振興部\14市民自治推進室\06  市民活動\◎助成・積立・取崩（基金）\00：起案：団体登録\団体情報一覧\団体概要書（更新ごと最新に）pdf\711_prof.pdf","一般社団法人日本風呂敷文化協会")</f>
        <v>一般社団法人日本風呂敷文化協会</v>
      </c>
      <c r="C179" s="32" t="s">
        <v>1030</v>
      </c>
      <c r="D179" s="32" t="s">
        <v>66</v>
      </c>
      <c r="E179" s="33" t="str">
        <f>HYPERLINK("https://furoshiki-bunnka.com/","https://furoshiki-bunnka.com/")</f>
        <v>https://furoshiki-bunnka.com/</v>
      </c>
      <c r="F179" s="34" t="s">
        <v>1031</v>
      </c>
      <c r="G179" s="34" t="s">
        <v>539</v>
      </c>
      <c r="H179" s="32" t="s">
        <v>1032</v>
      </c>
      <c r="I179" s="32" t="s">
        <v>1033</v>
      </c>
      <c r="J179" s="32" t="s">
        <v>1034</v>
      </c>
      <c r="K179" s="35" t="s">
        <v>37</v>
      </c>
      <c r="L179" s="35" t="s">
        <v>37</v>
      </c>
      <c r="M179" s="35" t="s">
        <v>37</v>
      </c>
      <c r="N179" s="35" t="s">
        <v>37</v>
      </c>
      <c r="O179" s="35"/>
      <c r="P179" s="35" t="s">
        <v>37</v>
      </c>
      <c r="Q179" s="35" t="s">
        <v>37</v>
      </c>
      <c r="R179" s="35" t="s">
        <v>37</v>
      </c>
      <c r="S179" s="35"/>
      <c r="T179" s="35"/>
      <c r="U179" s="35" t="s">
        <v>37</v>
      </c>
      <c r="V179" s="35" t="s">
        <v>37</v>
      </c>
      <c r="W179" s="35" t="s">
        <v>37</v>
      </c>
      <c r="X179" s="35"/>
      <c r="Y179" s="35"/>
      <c r="Z179" s="35" t="s">
        <v>37</v>
      </c>
      <c r="AA179" s="35" t="s">
        <v>37</v>
      </c>
      <c r="AB179" s="35"/>
      <c r="AC179" s="35"/>
    </row>
    <row r="180" spans="1:29" ht="162">
      <c r="A180" s="36">
        <v>712</v>
      </c>
      <c r="B180" s="37" t="str">
        <f>HYPERLINK("\\intranet-fs4\市）地域振興部\14市民自治推進室\06  市民活動\◎助成・積立・取崩（基金）\00：起案：団体登録\団体情報一覧\団体概要書（更新ごと最新に）pdf\712_prof.pdf","札幌インストラクターガイド")</f>
        <v>札幌インストラクターガイド</v>
      </c>
      <c r="C180" s="32" t="s">
        <v>1035</v>
      </c>
      <c r="D180" s="32" t="s">
        <v>39</v>
      </c>
      <c r="E180" s="33" t="str">
        <f>HYPERLINK("https://sap-instguide.jimdofree.com/","https://sap-instguide.jimdofree.com/")</f>
        <v>https://sap-instguide.jimdofree.com/</v>
      </c>
      <c r="F180" s="34" t="s">
        <v>1036</v>
      </c>
      <c r="G180" s="34" t="s">
        <v>1036</v>
      </c>
      <c r="H180" s="32" t="s">
        <v>1037</v>
      </c>
      <c r="I180" s="32" t="s">
        <v>1038</v>
      </c>
      <c r="J180" s="32" t="s">
        <v>1039</v>
      </c>
      <c r="K180" s="35"/>
      <c r="L180" s="35" t="s">
        <v>37</v>
      </c>
      <c r="M180" s="35"/>
      <c r="N180" s="35"/>
      <c r="O180" s="35"/>
      <c r="P180" s="35" t="s">
        <v>37</v>
      </c>
      <c r="Q180" s="35"/>
      <c r="R180" s="35"/>
      <c r="S180" s="35"/>
      <c r="T180" s="35"/>
      <c r="U180" s="35"/>
      <c r="V180" s="35"/>
      <c r="W180" s="35" t="s">
        <v>37</v>
      </c>
      <c r="X180" s="35"/>
      <c r="Y180" s="35"/>
      <c r="Z180" s="35"/>
      <c r="AA180" s="35"/>
      <c r="AB180" s="35"/>
      <c r="AC180" s="35" t="s">
        <v>37</v>
      </c>
    </row>
    <row r="181" spans="1:29" ht="81">
      <c r="A181" s="36">
        <v>713</v>
      </c>
      <c r="B181" s="37" t="str">
        <f>HYPERLINK("\\intranet-fs4\市）地域振興部\14市民自治推進室\06  市民活動\◎助成・積立・取崩（基金）\00：起案：団体登録\団体情報一覧\団体概要書（更新ごと最新に）pdf\713_prof.pdf","野良猫もみな、家族だよ")</f>
        <v>野良猫もみな、家族だよ</v>
      </c>
      <c r="C181" s="32" t="s">
        <v>1040</v>
      </c>
      <c r="D181" s="32" t="s">
        <v>79</v>
      </c>
      <c r="E181" s="33" t="str">
        <f>HYPERLINK("noranekokazoku.amebaownd.comhttp://noranekokazoku.amebaownd.com","noranekokazoku.amebaownd.comhttp://noranekokazoku.amebaownd.com")</f>
        <v>noranekokazoku.amebaownd.comhttp://noranekokazoku.amebaownd.com</v>
      </c>
      <c r="F181" s="34" t="s">
        <v>776</v>
      </c>
      <c r="G181" s="34" t="s">
        <v>252</v>
      </c>
      <c r="H181" s="32" t="s">
        <v>1041</v>
      </c>
      <c r="I181" s="32" t="s">
        <v>1042</v>
      </c>
      <c r="J181" s="32" t="s">
        <v>1043</v>
      </c>
      <c r="K181" s="35"/>
      <c r="L181" s="35"/>
      <c r="M181" s="35" t="s">
        <v>37</v>
      </c>
      <c r="N181" s="35"/>
      <c r="O181" s="35"/>
      <c r="P181" s="35"/>
      <c r="Q181" s="35" t="s">
        <v>37</v>
      </c>
      <c r="R181" s="35"/>
      <c r="S181" s="35"/>
      <c r="T181" s="35"/>
      <c r="U181" s="35"/>
      <c r="V181" s="35"/>
      <c r="W181" s="35"/>
      <c r="X181" s="35"/>
      <c r="Y181" s="35"/>
      <c r="Z181" s="35"/>
      <c r="AA181" s="35"/>
      <c r="AB181" s="35"/>
      <c r="AC181" s="35"/>
    </row>
    <row r="182" spans="1:29" ht="108">
      <c r="A182" s="36">
        <v>716</v>
      </c>
      <c r="B182" s="37" t="str">
        <f>HYPERLINK("\\intranet-fs4\市）地域振興部\14市民自治推進室\06  市民活動\◎助成・積立・取崩（基金）\00：起案：団体登録\団体情報一覧\団体概要書（更新ごと最新に）pdf\716_prof.pdf","札幌彫刻美術館友の会")</f>
        <v>札幌彫刻美術館友の会</v>
      </c>
      <c r="C182" s="32" t="s">
        <v>1044</v>
      </c>
      <c r="D182" s="32" t="s">
        <v>1045</v>
      </c>
      <c r="E182" s="33" t="str">
        <f>HYPERLINK("https://sapporo-chokoku.jp/","https://sapporo-chokoku.jp/")</f>
        <v>https://sapporo-chokoku.jp/</v>
      </c>
      <c r="F182" s="34" t="s">
        <v>413</v>
      </c>
      <c r="G182" s="34" t="s">
        <v>413</v>
      </c>
      <c r="H182" s="32" t="s">
        <v>1046</v>
      </c>
      <c r="I182" s="32" t="s">
        <v>1047</v>
      </c>
      <c r="J182" s="32" t="s">
        <v>1048</v>
      </c>
      <c r="K182" s="35"/>
      <c r="L182" s="35"/>
      <c r="M182" s="35"/>
      <c r="N182" s="35" t="s">
        <v>37</v>
      </c>
      <c r="O182" s="35"/>
      <c r="P182" s="35" t="s">
        <v>37</v>
      </c>
      <c r="Q182" s="35"/>
      <c r="R182" s="35"/>
      <c r="S182" s="35"/>
      <c r="T182" s="35"/>
      <c r="U182" s="35"/>
      <c r="V182" s="35"/>
      <c r="W182" s="35"/>
      <c r="X182" s="35"/>
      <c r="Y182" s="35"/>
      <c r="Z182" s="35"/>
      <c r="AA182" s="35"/>
      <c r="AB182" s="35"/>
      <c r="AC182" s="35"/>
    </row>
    <row r="183" spans="1:29" ht="162">
      <c r="A183" s="36">
        <v>719</v>
      </c>
      <c r="B183" s="37" t="str">
        <f>HYPERLINK("\\intranet-fs4\市）地域振興部\14市民自治推進室\06  市民活動\◎助成・積立・取崩（基金）\00：起案：団体登録\団体情報一覧\団体概要書（更新ごと最新に）pdf\719_prof.pdf","バナナのＯＹＡＫＯ")</f>
        <v>バナナのＯＹＡＫＯ</v>
      </c>
      <c r="C183" s="32" t="s">
        <v>1049</v>
      </c>
      <c r="D183" s="32" t="s">
        <v>1050</v>
      </c>
      <c r="E183" s="33" t="str">
        <f>HYPERLINK("https://banana-oyako.jimdofree.com/","https://banana-oyako.jimdofree.com/")</f>
        <v>https://banana-oyako.jimdofree.com/</v>
      </c>
      <c r="F183" s="34" t="s">
        <v>510</v>
      </c>
      <c r="G183" s="34" t="s">
        <v>591</v>
      </c>
      <c r="H183" s="32" t="s">
        <v>1051</v>
      </c>
      <c r="I183" s="32" t="s">
        <v>1052</v>
      </c>
      <c r="J183" s="32" t="s">
        <v>1053</v>
      </c>
      <c r="K183" s="35"/>
      <c r="L183" s="35"/>
      <c r="M183" s="35" t="s">
        <v>37</v>
      </c>
      <c r="N183" s="35"/>
      <c r="O183" s="35"/>
      <c r="P183" s="35" t="s">
        <v>37</v>
      </c>
      <c r="Q183" s="35"/>
      <c r="R183" s="35"/>
      <c r="S183" s="35"/>
      <c r="T183" s="35"/>
      <c r="U183" s="35"/>
      <c r="V183" s="35"/>
      <c r="W183" s="35" t="s">
        <v>37</v>
      </c>
      <c r="X183" s="35"/>
      <c r="Y183" s="35"/>
      <c r="Z183" s="35"/>
      <c r="AA183" s="35"/>
      <c r="AB183" s="35"/>
      <c r="AC183" s="35"/>
    </row>
    <row r="184" spans="1:29" ht="216">
      <c r="A184" s="36">
        <v>720</v>
      </c>
      <c r="B184" s="37" t="str">
        <f>HYPERLINK("\\intranet-fs4\市）地域振興部\14市民自治推進室\06  市民活動\◎助成・積立・取崩（基金）\00：起案：団体登録\団体情報一覧\団体概要書（更新ごと最新に）pdf\720_prof.pdf","シュタイナー教育講座")</f>
        <v>シュタイナー教育講座</v>
      </c>
      <c r="C184" s="32" t="s">
        <v>1054</v>
      </c>
      <c r="D184" s="32" t="s">
        <v>1055</v>
      </c>
      <c r="E184" s="33" t="str">
        <f>HYPERLINK("https://www.nijinoko.amebaownd.com","https://www.nijinoko.amebaownd.com")</f>
        <v>https://www.nijinoko.amebaownd.com</v>
      </c>
      <c r="F184" s="34" t="s">
        <v>87</v>
      </c>
      <c r="G184" s="34" t="s">
        <v>87</v>
      </c>
      <c r="H184" s="32" t="s">
        <v>1056</v>
      </c>
      <c r="I184" s="32" t="s">
        <v>1057</v>
      </c>
      <c r="J184" s="32" t="s">
        <v>1058</v>
      </c>
      <c r="K184" s="35"/>
      <c r="L184" s="35"/>
      <c r="M184" s="35"/>
      <c r="N184" s="35"/>
      <c r="O184" s="35"/>
      <c r="P184" s="35"/>
      <c r="Q184" s="35"/>
      <c r="R184" s="35"/>
      <c r="S184" s="35"/>
      <c r="T184" s="35"/>
      <c r="U184" s="35"/>
      <c r="V184" s="35"/>
      <c r="W184" s="35" t="s">
        <v>37</v>
      </c>
      <c r="X184" s="35"/>
      <c r="Y184" s="35"/>
      <c r="Z184" s="35"/>
      <c r="AA184" s="35"/>
      <c r="AB184" s="35"/>
      <c r="AC184" s="35"/>
    </row>
    <row r="185" spans="1:29" ht="81">
      <c r="A185" s="36">
        <v>721</v>
      </c>
      <c r="B185" s="37" t="str">
        <f>HYPERLINK("\\intranet-fs4\市）地域振興部\14市民自治推進室\06  市民活動\◎助成・積立・取崩（基金）\00：起案：団体登録\団体情報一覧\団体概要書（更新ごと最新に）pdf\721_prof.pdf","一般社団法人North-Woman")</f>
        <v>一般社団法人North-Woman</v>
      </c>
      <c r="C185" s="32" t="s">
        <v>1059</v>
      </c>
      <c r="D185" s="32" t="s">
        <v>115</v>
      </c>
      <c r="E185" s="33" t="str">
        <f>HYPERLINK("https://north-woman.or.jo/","https://north-woman.or.jo/")</f>
        <v>https://north-woman.or.jo/</v>
      </c>
      <c r="F185" s="34" t="s">
        <v>1060</v>
      </c>
      <c r="G185" s="34" t="s">
        <v>598</v>
      </c>
      <c r="H185" s="32" t="s">
        <v>1061</v>
      </c>
      <c r="I185" s="32" t="s">
        <v>1062</v>
      </c>
      <c r="J185" s="32" t="s">
        <v>1063</v>
      </c>
      <c r="K185" s="35"/>
      <c r="L185" s="35"/>
      <c r="M185" s="35" t="s">
        <v>37</v>
      </c>
      <c r="N185" s="35"/>
      <c r="O185" s="35"/>
      <c r="P185" s="35"/>
      <c r="Q185" s="35"/>
      <c r="R185" s="35"/>
      <c r="S185" s="35"/>
      <c r="T185" s="35"/>
      <c r="U185" s="35"/>
      <c r="V185" s="35" t="s">
        <v>37</v>
      </c>
      <c r="W185" s="35"/>
      <c r="X185" s="35"/>
      <c r="Y185" s="35"/>
      <c r="Z185" s="35"/>
      <c r="AA185" s="35"/>
      <c r="AB185" s="35"/>
      <c r="AC185" s="35"/>
    </row>
    <row r="186" spans="1:29" ht="121.5">
      <c r="A186" s="36">
        <v>723</v>
      </c>
      <c r="B186" s="37" t="str">
        <f>HYPERLINK("\\intranet-fs4\市）地域振興部\14市民自治推進室\06  市民活動\◎助成・積立・取崩（基金）\00：起案：団体登録\団体情報一覧\団体概要書（更新ごと最新に）pdf\723_prof.pdf","桑園あそびばプロジェクト")</f>
        <v>桑園あそびばプロジェクト</v>
      </c>
      <c r="C186" s="32" t="s">
        <v>1064</v>
      </c>
      <c r="D186" s="32" t="s">
        <v>1065</v>
      </c>
      <c r="E186" s="38" t="str">
        <f>HYPERLINK("https://soenasobi.blogspot.com/","https://soenasobi.blogspot.com/")</f>
        <v>https://soenasobi.blogspot.com/</v>
      </c>
      <c r="F186" s="34" t="s">
        <v>1060</v>
      </c>
      <c r="G186" s="34" t="s">
        <v>1060</v>
      </c>
      <c r="H186" s="32" t="s">
        <v>1066</v>
      </c>
      <c r="I186" s="32" t="s">
        <v>1067</v>
      </c>
      <c r="J186" s="32" t="s">
        <v>1068</v>
      </c>
      <c r="K186" s="35"/>
      <c r="L186" s="35"/>
      <c r="M186" s="35" t="s">
        <v>37</v>
      </c>
      <c r="N186" s="35"/>
      <c r="O186" s="35"/>
      <c r="P186" s="35" t="s">
        <v>37</v>
      </c>
      <c r="Q186" s="35"/>
      <c r="R186" s="35"/>
      <c r="S186" s="35"/>
      <c r="T186" s="35"/>
      <c r="U186" s="35"/>
      <c r="V186" s="35"/>
      <c r="W186" s="35" t="s">
        <v>37</v>
      </c>
      <c r="X186" s="35"/>
      <c r="Y186" s="35"/>
      <c r="Z186" s="35"/>
      <c r="AA186" s="35"/>
      <c r="AB186" s="35"/>
      <c r="AC186" s="35"/>
    </row>
    <row r="187" spans="1:29" ht="229.5">
      <c r="A187" s="36">
        <v>726</v>
      </c>
      <c r="B187" s="37" t="str">
        <f>HYPERLINK("\\intranet-fs4\市）地域振興部\14市民自治推進室\06  市民活動\◎助成・積立・取崩（基金）\00：起案：団体登録\団体情報一覧\団体概要書（更新ごと最新に）pdf\726_prof.pdf","NPO子ども達による「花いっぱいの健康な町づくり」")</f>
        <v>NPO子ども達による「花いっぱいの健康な町づくり」</v>
      </c>
      <c r="C187" s="32" t="s">
        <v>1069</v>
      </c>
      <c r="D187" s="32" t="s">
        <v>1070</v>
      </c>
      <c r="E187" s="41"/>
      <c r="F187" s="34" t="s">
        <v>1071</v>
      </c>
      <c r="G187" s="34" t="s">
        <v>1072</v>
      </c>
      <c r="H187" s="32" t="s">
        <v>1073</v>
      </c>
      <c r="I187" s="32" t="s">
        <v>1074</v>
      </c>
      <c r="J187" s="32" t="s">
        <v>1075</v>
      </c>
      <c r="K187" s="35"/>
      <c r="L187" s="35" t="s">
        <v>37</v>
      </c>
      <c r="M187" s="35" t="s">
        <v>37</v>
      </c>
      <c r="N187" s="35"/>
      <c r="O187" s="35"/>
      <c r="P187" s="35" t="s">
        <v>37</v>
      </c>
      <c r="Q187" s="35" t="s">
        <v>37</v>
      </c>
      <c r="R187" s="35"/>
      <c r="S187" s="35" t="s">
        <v>37</v>
      </c>
      <c r="T187" s="35" t="s">
        <v>37</v>
      </c>
      <c r="U187" s="35"/>
      <c r="V187" s="35"/>
      <c r="W187" s="35" t="s">
        <v>37</v>
      </c>
      <c r="X187" s="35"/>
      <c r="Y187" s="35"/>
      <c r="Z187" s="35"/>
      <c r="AA187" s="35"/>
      <c r="AB187" s="35"/>
      <c r="AC187" s="35"/>
    </row>
    <row r="188" spans="1:29" ht="135">
      <c r="A188" s="36">
        <v>727</v>
      </c>
      <c r="B188" s="37" t="str">
        <f>HYPERLINK("\\intranet-fs4\市）地域振興部\14市民自治推進室\06  市民活動\◎助成・積立・取崩（基金）\00：起案：団体登録\団体情報一覧\団体概要書（更新ごと最新に）pdf\727_prof.pdf","厚別点訳サークル「すずらん」")</f>
        <v>厚別点訳サークル「すずらん」</v>
      </c>
      <c r="C188" s="32" t="s">
        <v>1076</v>
      </c>
      <c r="D188" s="32" t="s">
        <v>1077</v>
      </c>
      <c r="E188" s="41"/>
      <c r="F188" s="34" t="s">
        <v>1078</v>
      </c>
      <c r="G188" s="34" t="s">
        <v>1079</v>
      </c>
      <c r="H188" s="32" t="s">
        <v>1080</v>
      </c>
      <c r="I188" s="32" t="s">
        <v>1081</v>
      </c>
      <c r="J188" s="32" t="s">
        <v>1082</v>
      </c>
      <c r="K188" s="35" t="s">
        <v>37</v>
      </c>
      <c r="L188" s="35"/>
      <c r="M188" s="35"/>
      <c r="N188" s="35"/>
      <c r="O188" s="35"/>
      <c r="P188" s="35"/>
      <c r="Q188" s="35"/>
      <c r="R188" s="35"/>
      <c r="S188" s="35"/>
      <c r="T188" s="35"/>
      <c r="U188" s="35"/>
      <c r="V188" s="35"/>
      <c r="W188" s="35"/>
      <c r="X188" s="35"/>
      <c r="Y188" s="35"/>
      <c r="Z188" s="35"/>
      <c r="AA188" s="35"/>
      <c r="AB188" s="35"/>
      <c r="AC188" s="35"/>
    </row>
    <row r="189" spans="1:29" ht="108">
      <c r="A189" s="36">
        <v>728</v>
      </c>
      <c r="B189" s="37" t="str">
        <f>HYPERLINK("\\intranet-fs4\市）地域振興部\14市民自治推進室\06  市民活動\◎助成・積立・取崩（基金）\00：起案：団体登録\団体情報一覧\団体概要書（更新ごと最新に）pdf\728_prof.pdf","長期入院の子どもと付き添い家族を支える会")</f>
        <v>長期入院の子どもと付き添い家族を支える会</v>
      </c>
      <c r="C189" s="32" t="s">
        <v>1083</v>
      </c>
      <c r="D189" s="32" t="s">
        <v>1084</v>
      </c>
      <c r="E189" s="33" t="str">
        <f>HYPERLINK("https://peraichi.com/landing_pages/view/bwithu?fbclid=IwAR2wcdYBeTvlvEg-ohURpwPCDqItN3CWLs5LTPpVBjU4W6n4LF3MgM7A1eI","https://peraichi.com/landing_pages/view/bwithu?fbclid=IwAR2wcdYBeTvlvEg-ohURpwPCDqItN3CWLs5LTPpVBjU4W6n4LF3MgM7A1eI")</f>
        <v>https://peraichi.com/landing_pages/view/bwithu?fbclid=IwAR2wcdYBeTvlvEg-ohURpwPCDqItN3CWLs5LTPpVBjU4W6n4LF3MgM7A1eI</v>
      </c>
      <c r="F189" s="34" t="s">
        <v>1085</v>
      </c>
      <c r="G189" s="34" t="s">
        <v>1085</v>
      </c>
      <c r="H189" s="32" t="s">
        <v>1086</v>
      </c>
      <c r="I189" s="32" t="s">
        <v>1087</v>
      </c>
      <c r="J189" s="32" t="s">
        <v>1088</v>
      </c>
      <c r="K189" s="35" t="s">
        <v>37</v>
      </c>
      <c r="L189" s="35" t="s">
        <v>37</v>
      </c>
      <c r="M189" s="35"/>
      <c r="N189" s="35"/>
      <c r="O189" s="35"/>
      <c r="P189" s="35"/>
      <c r="Q189" s="35"/>
      <c r="R189" s="35"/>
      <c r="S189" s="35"/>
      <c r="T189" s="35"/>
      <c r="U189" s="35"/>
      <c r="V189" s="35"/>
      <c r="W189" s="35" t="s">
        <v>37</v>
      </c>
      <c r="X189" s="35"/>
      <c r="Y189" s="35"/>
      <c r="Z189" s="35"/>
      <c r="AA189" s="35"/>
      <c r="AB189" s="35"/>
      <c r="AC189" s="35" t="s">
        <v>37</v>
      </c>
    </row>
    <row r="190" spans="1:29" ht="351">
      <c r="A190" s="36">
        <v>729</v>
      </c>
      <c r="B190" s="37" t="str">
        <f>HYPERLINK("\\intranet-fs4\市）地域振興部\14市民自治推進室\06  市民活動\◎助成・積立・取崩（基金）\00：起案：団体登録\団体情報一覧\団体概要書（更新ごと最新に）pdf\729_prof.pdf","さっぽろキッズイベンターCoCo")</f>
        <v>さっぽろキッズイベンターCoCo</v>
      </c>
      <c r="C190" s="32" t="s">
        <v>1089</v>
      </c>
      <c r="D190" s="32" t="s">
        <v>1090</v>
      </c>
      <c r="E190" s="33" t="str">
        <f>HYPERLINK("https://kids-eventer-coco.amebaownd.com/","https://kids-eventer-coco.amebaownd.com/")</f>
        <v>https://kids-eventer-coco.amebaownd.com/</v>
      </c>
      <c r="F190" s="34" t="s">
        <v>1091</v>
      </c>
      <c r="G190" s="34" t="s">
        <v>1091</v>
      </c>
      <c r="H190" s="32" t="s">
        <v>1092</v>
      </c>
      <c r="I190" s="32" t="s">
        <v>1093</v>
      </c>
      <c r="J190" s="32" t="s">
        <v>1094</v>
      </c>
      <c r="K190" s="35"/>
      <c r="L190" s="35" t="s">
        <v>37</v>
      </c>
      <c r="M190" s="35"/>
      <c r="N190" s="35"/>
      <c r="O190" s="35"/>
      <c r="P190" s="35" t="s">
        <v>37</v>
      </c>
      <c r="Q190" s="35"/>
      <c r="R190" s="35"/>
      <c r="S190" s="35"/>
      <c r="T190" s="35"/>
      <c r="U190" s="35"/>
      <c r="V190" s="35"/>
      <c r="W190" s="35" t="s">
        <v>37</v>
      </c>
      <c r="X190" s="35"/>
      <c r="Y190" s="35"/>
      <c r="Z190" s="35"/>
      <c r="AA190" s="35"/>
      <c r="AB190" s="35"/>
      <c r="AC190" s="35"/>
    </row>
    <row r="191" spans="1:29" ht="121.5">
      <c r="A191" s="36">
        <v>730</v>
      </c>
      <c r="B191" s="37" t="str">
        <f>HYPERLINK("\\intranet-fs4\市）地域振興部\14市民自治推進室\06  市民活動\◎助成・積立・取崩（基金）\00：起案：団体登録\団体情報一覧\団体概要書（更新ごと最新に）pdf\730_prof.pdf","ミトプロムジカ")</f>
        <v>ミトプロムジカ</v>
      </c>
      <c r="C191" s="32" t="s">
        <v>1095</v>
      </c>
      <c r="D191" s="32" t="s">
        <v>1096</v>
      </c>
      <c r="E191" s="33" t="str">
        <f>HYPERLINK("www.mitopromusica.comhttp://www.mitopromusica.com","www.mitopromusica.comhttp://www.mitopromusica.com")</f>
        <v>www.mitopromusica.comhttp://www.mitopromusica.com</v>
      </c>
      <c r="F191" s="34" t="s">
        <v>515</v>
      </c>
      <c r="G191" s="34" t="s">
        <v>972</v>
      </c>
      <c r="H191" s="32" t="s">
        <v>1097</v>
      </c>
      <c r="I191" s="32" t="s">
        <v>1098</v>
      </c>
      <c r="J191" s="32" t="s">
        <v>1099</v>
      </c>
      <c r="K191" s="35"/>
      <c r="L191" s="35"/>
      <c r="M191" s="35" t="s">
        <v>37</v>
      </c>
      <c r="N191" s="35"/>
      <c r="O191" s="35"/>
      <c r="P191" s="35" t="s">
        <v>37</v>
      </c>
      <c r="Q191" s="35"/>
      <c r="R191" s="35"/>
      <c r="S191" s="35"/>
      <c r="T191" s="35"/>
      <c r="U191" s="35"/>
      <c r="V191" s="35"/>
      <c r="W191" s="35" t="s">
        <v>37</v>
      </c>
      <c r="X191" s="35"/>
      <c r="Y191" s="35"/>
      <c r="Z191" s="35"/>
      <c r="AA191" s="35"/>
      <c r="AB191" s="35"/>
      <c r="AC191" s="35"/>
    </row>
    <row r="192" spans="1:29" ht="135">
      <c r="A192" s="36">
        <v>731</v>
      </c>
      <c r="B192" s="37" t="str">
        <f>HYPERLINK("\\intranet-fs4\市）地域振興部\14市民自治推進室\06  市民活動\◎助成・積立・取崩（基金）\00：起案：団体登録\団体情報一覧\団体概要書（更新ごと最新に）pdf\731_prof.pdf","よりそいますKu")</f>
        <v>よりそいますKu</v>
      </c>
      <c r="C192" s="32" t="s">
        <v>375</v>
      </c>
      <c r="D192" s="32" t="s">
        <v>79</v>
      </c>
      <c r="E192" s="41"/>
      <c r="F192" s="34" t="s">
        <v>1100</v>
      </c>
      <c r="G192" s="34" t="s">
        <v>1101</v>
      </c>
      <c r="H192" s="32" t="s">
        <v>1102</v>
      </c>
      <c r="I192" s="32" t="s">
        <v>1103</v>
      </c>
      <c r="J192" s="32" t="s">
        <v>1104</v>
      </c>
      <c r="K192" s="35" t="s">
        <v>37</v>
      </c>
      <c r="L192" s="35"/>
      <c r="M192" s="35" t="s">
        <v>37</v>
      </c>
      <c r="N192" s="35" t="s">
        <v>37</v>
      </c>
      <c r="O192" s="35"/>
      <c r="P192" s="35" t="s">
        <v>37</v>
      </c>
      <c r="Q192" s="35" t="s">
        <v>37</v>
      </c>
      <c r="R192" s="35" t="s">
        <v>37</v>
      </c>
      <c r="S192" s="35" t="s">
        <v>37</v>
      </c>
      <c r="T192" s="35"/>
      <c r="U192" s="35" t="s">
        <v>37</v>
      </c>
      <c r="V192" s="35"/>
      <c r="W192" s="35" t="s">
        <v>37</v>
      </c>
      <c r="X192" s="35"/>
      <c r="Y192" s="35"/>
      <c r="Z192" s="35" t="s">
        <v>37</v>
      </c>
      <c r="AA192" s="35"/>
      <c r="AB192" s="35"/>
      <c r="AC192" s="35"/>
    </row>
    <row r="193" spans="1:29" ht="162">
      <c r="A193" s="36">
        <v>732</v>
      </c>
      <c r="B193" s="37" t="str">
        <f>HYPERLINK("\\intranet-fs4\市）地域振興部\14市民自治推進室\06  市民活動\◎助成・積立・取崩（基金）\00：起案：団体登録\団体情報一覧\団体概要書（更新ごと最新に）pdf\732_prof.pdf","一般社団法人サステナビリティ・ダイアログ")</f>
        <v>一般社団法人サステナビリティ・ダイアログ</v>
      </c>
      <c r="C193" s="32" t="s">
        <v>1105</v>
      </c>
      <c r="D193" s="32" t="s">
        <v>1106</v>
      </c>
      <c r="E193" s="33" t="str">
        <f>HYPERLINK("https://www.sustainabilitydialogue.vision/","https://www.sustainabilitydialogue.vision/")</f>
        <v>https://www.sustainabilitydialogue.vision/</v>
      </c>
      <c r="F193" s="34" t="s">
        <v>1107</v>
      </c>
      <c r="G193" s="34" t="s">
        <v>1107</v>
      </c>
      <c r="H193" s="32" t="s">
        <v>1108</v>
      </c>
      <c r="I193" s="32" t="s">
        <v>1109</v>
      </c>
      <c r="J193" s="32" t="s">
        <v>1110</v>
      </c>
      <c r="K193" s="35"/>
      <c r="L193" s="35" t="s">
        <v>37</v>
      </c>
      <c r="M193" s="35" t="s">
        <v>37</v>
      </c>
      <c r="N193" s="35"/>
      <c r="O193" s="35"/>
      <c r="P193" s="35"/>
      <c r="Q193" s="35"/>
      <c r="R193" s="35"/>
      <c r="S193" s="35"/>
      <c r="T193" s="35"/>
      <c r="U193" s="35"/>
      <c r="V193" s="35" t="s">
        <v>37</v>
      </c>
      <c r="W193" s="35" t="s">
        <v>37</v>
      </c>
      <c r="X193" s="35"/>
      <c r="Y193" s="35"/>
      <c r="Z193" s="35"/>
      <c r="AA193" s="35"/>
      <c r="AB193" s="35"/>
      <c r="AC193" s="35"/>
    </row>
    <row r="194" spans="1:29" ht="135">
      <c r="A194" s="36">
        <v>733</v>
      </c>
      <c r="B194" s="37" t="str">
        <f>HYPERLINK("\\intranet-fs4\市）地域振興部\14市民自治推進室\06  市民活動\◎助成・積立・取崩（基金）\00：起案：団体登録\団体情報一覧\団体概要書（更新ごと最新に）pdf\733_prof.pdf","さっぽろレインボープライド実行委員会")</f>
        <v>さっぽろレインボープライド実行委員会</v>
      </c>
      <c r="C194" s="32" t="s">
        <v>1111</v>
      </c>
      <c r="D194" s="32" t="s">
        <v>1112</v>
      </c>
      <c r="E194" s="33" t="str">
        <f>HYPERLINK("https://www.sprrainbowpride.com/","https://www.sprrainbowpride.com/")</f>
        <v>https://www.sprrainbowpride.com/</v>
      </c>
      <c r="F194" s="34" t="s">
        <v>782</v>
      </c>
      <c r="G194" s="34" t="s">
        <v>782</v>
      </c>
      <c r="H194" s="32" t="s">
        <v>1113</v>
      </c>
      <c r="I194" s="32" t="s">
        <v>1114</v>
      </c>
      <c r="J194" s="32" t="s">
        <v>1115</v>
      </c>
      <c r="K194" s="35"/>
      <c r="L194" s="35"/>
      <c r="M194" s="35"/>
      <c r="N194" s="35"/>
      <c r="O194" s="35"/>
      <c r="P194" s="35"/>
      <c r="Q194" s="35"/>
      <c r="R194" s="35"/>
      <c r="S194" s="35"/>
      <c r="T194" s="35"/>
      <c r="U194" s="35"/>
      <c r="V194" s="35"/>
      <c r="W194" s="35"/>
      <c r="X194" s="35"/>
      <c r="Y194" s="35"/>
      <c r="Z194" s="35"/>
      <c r="AA194" s="35"/>
      <c r="AB194" s="35"/>
      <c r="AC194" s="35"/>
    </row>
    <row r="195" spans="1:29" ht="135">
      <c r="A195" s="36">
        <v>734</v>
      </c>
      <c r="B195" s="37" t="str">
        <f>HYPERLINK("\\intranet-fs4\市）地域振興部\14市民自治推進室\06  市民活動\◎助成・積立・取崩（基金）\00：起案：団体登録\団体情報一覧\団体概要書（更新ごと最新に）pdf\734_prof.pdf","北大白銀祭実行委員会")</f>
        <v>北大白銀祭実行委員会</v>
      </c>
      <c r="C195" s="32" t="s">
        <v>1116</v>
      </c>
      <c r="D195" s="32" t="s">
        <v>913</v>
      </c>
      <c r="E195" s="41"/>
      <c r="F195" s="34" t="s">
        <v>1100</v>
      </c>
      <c r="G195" s="34" t="s">
        <v>1100</v>
      </c>
      <c r="H195" s="32" t="s">
        <v>1117</v>
      </c>
      <c r="I195" s="32" t="s">
        <v>1118</v>
      </c>
      <c r="J195" s="32" t="s">
        <v>1119</v>
      </c>
      <c r="K195" s="35"/>
      <c r="L195" s="35"/>
      <c r="M195" s="35"/>
      <c r="N195" s="35" t="s">
        <v>37</v>
      </c>
      <c r="O195" s="35"/>
      <c r="P195" s="35" t="s">
        <v>37</v>
      </c>
      <c r="Q195" s="35"/>
      <c r="R195" s="35"/>
      <c r="S195" s="35"/>
      <c r="T195" s="35"/>
      <c r="U195" s="35"/>
      <c r="V195" s="35"/>
      <c r="W195" s="35"/>
      <c r="X195" s="35"/>
      <c r="Y195" s="35"/>
      <c r="Z195" s="35"/>
      <c r="AA195" s="35"/>
      <c r="AB195" s="35"/>
      <c r="AC195" s="35"/>
    </row>
    <row r="196" spans="1:29" ht="162">
      <c r="A196" s="36">
        <v>735</v>
      </c>
      <c r="B196" s="37" t="str">
        <f>HYPERLINK("\\intranet-fs4\市）地域振興部\14市民自治推進室\06  市民活動\◎助成・積立・取崩（基金）\00：起案：団体登録\団体情報一覧\団体概要書（更新ごと最新に）pdf\735_prof.pdf","一般社団法人　hug　cafe")</f>
        <v>一般社団法人　hug　cafe</v>
      </c>
      <c r="C196" s="32" t="s">
        <v>1120</v>
      </c>
      <c r="D196" s="32" t="s">
        <v>115</v>
      </c>
      <c r="E196" s="38" t="str">
        <f>HYPERLINK("https://www.makiko-hugcafe.com","https://www.makiko-hugcafe.com")</f>
        <v>https://www.makiko-hugcafe.com</v>
      </c>
      <c r="F196" s="34" t="s">
        <v>1005</v>
      </c>
      <c r="G196" s="34" t="s">
        <v>1005</v>
      </c>
      <c r="H196" s="32" t="s">
        <v>1121</v>
      </c>
      <c r="I196" s="32" t="s">
        <v>1122</v>
      </c>
      <c r="J196" s="32" t="s">
        <v>1123</v>
      </c>
      <c r="K196" s="35"/>
      <c r="L196" s="35"/>
      <c r="M196" s="35" t="s">
        <v>37</v>
      </c>
      <c r="N196" s="35"/>
      <c r="O196" s="35"/>
      <c r="P196" s="35"/>
      <c r="Q196" s="35"/>
      <c r="R196" s="35"/>
      <c r="S196" s="35"/>
      <c r="T196" s="35"/>
      <c r="U196" s="35"/>
      <c r="V196" s="35" t="s">
        <v>37</v>
      </c>
      <c r="W196" s="35" t="s">
        <v>37</v>
      </c>
      <c r="X196" s="35"/>
      <c r="Y196" s="35"/>
      <c r="Z196" s="35"/>
      <c r="AA196" s="35"/>
      <c r="AB196" s="35"/>
      <c r="AC196" s="35"/>
    </row>
    <row r="197" spans="1:29" ht="94.5">
      <c r="A197" s="36">
        <v>736</v>
      </c>
      <c r="B197" s="37" t="str">
        <f>HYPERLINK("\\intranet-fs4\市）地域振興部\14市民自治推進室\06  市民活動\◎助成・積立・取崩（基金）\00：起案：団体登録\団体情報一覧\団体概要書（更新ごと最新に）pdf\736_prof.pdf","北海道の労働と福祉を考える会")</f>
        <v>北海道の労働と福祉を考える会</v>
      </c>
      <c r="C197" s="32" t="s">
        <v>1124</v>
      </c>
      <c r="D197" s="32" t="s">
        <v>1125</v>
      </c>
      <c r="E197" s="38" t="str">
        <f>HYPERLINK("https;//www.roufuku.orghttp://https;//www.roufuku.org","https;//www.roufuku.orghttp://https;//www.roufuku.org")</f>
        <v>https;//www.roufuku.orghttp://https;//www.roufuku.org</v>
      </c>
      <c r="F197" s="34" t="s">
        <v>1126</v>
      </c>
      <c r="G197" s="34" t="s">
        <v>1126</v>
      </c>
      <c r="H197" s="32" t="s">
        <v>1127</v>
      </c>
      <c r="I197" s="32" t="s">
        <v>1128</v>
      </c>
      <c r="J197" s="32" t="s">
        <v>1129</v>
      </c>
      <c r="K197" s="35" t="s">
        <v>37</v>
      </c>
      <c r="L197" s="35" t="s">
        <v>37</v>
      </c>
      <c r="M197" s="35" t="s">
        <v>37</v>
      </c>
      <c r="N197" s="35"/>
      <c r="O197" s="35"/>
      <c r="P197" s="35"/>
      <c r="Q197" s="35"/>
      <c r="R197" s="35"/>
      <c r="S197" s="35"/>
      <c r="T197" s="35" t="s">
        <v>37</v>
      </c>
      <c r="U197" s="35"/>
      <c r="V197" s="35"/>
      <c r="W197" s="35"/>
      <c r="X197" s="35"/>
      <c r="Y197" s="35"/>
      <c r="Z197" s="35"/>
      <c r="AA197" s="35"/>
      <c r="AB197" s="35"/>
      <c r="AC197" s="35"/>
    </row>
    <row r="198" spans="1:29" ht="324">
      <c r="A198" s="36">
        <v>737</v>
      </c>
      <c r="B198" s="37" t="str">
        <f>HYPERLINK("\\intranet-fs4\市）地域振興部\14市民自治推進室\06  市民活動\◎助成・積立・取崩（基金）\00：起案：団体登録\団体情報一覧\団体概要書（更新ごと最新に）pdf\737_prof.pdf","特定非営利活動法人なごみ")</f>
        <v>特定非営利活動法人なごみ</v>
      </c>
      <c r="C198" s="32" t="s">
        <v>1130</v>
      </c>
      <c r="D198" s="32" t="s">
        <v>1131</v>
      </c>
      <c r="E198" s="33" t="str">
        <f>HYPERLINK("ｗｗｗ.nponagomi.comhttp://ｗｗｗ.nponagomi.com","ｗｗｗ.nponagomi.comhttp://ｗｗｗ.nponagomi.com")</f>
        <v>ｗｗｗ.nponagomi.comhttp://ｗｗｗ.nponagomi.com</v>
      </c>
      <c r="F198" s="34" t="s">
        <v>288</v>
      </c>
      <c r="G198" s="34" t="s">
        <v>1132</v>
      </c>
      <c r="H198" s="32" t="s">
        <v>1133</v>
      </c>
      <c r="I198" s="32" t="s">
        <v>1134</v>
      </c>
      <c r="J198" s="32" t="s">
        <v>1135</v>
      </c>
      <c r="K198" s="35" t="s">
        <v>37</v>
      </c>
      <c r="L198" s="35"/>
      <c r="M198" s="35"/>
      <c r="N198" s="35"/>
      <c r="O198" s="35"/>
      <c r="P198" s="35"/>
      <c r="Q198" s="35"/>
      <c r="R198" s="35"/>
      <c r="S198" s="35"/>
      <c r="T198" s="35"/>
      <c r="U198" s="35"/>
      <c r="V198" s="35"/>
      <c r="W198" s="35"/>
      <c r="X198" s="35"/>
      <c r="Y198" s="35"/>
      <c r="Z198" s="35"/>
      <c r="AA198" s="35"/>
      <c r="AB198" s="35"/>
      <c r="AC198" s="35"/>
    </row>
    <row r="199" spans="1:29" ht="81">
      <c r="A199" s="36">
        <v>738</v>
      </c>
      <c r="B199" s="37" t="str">
        <f>HYPERLINK("\\intranet-fs4\市）地域振興部\14市民自治推進室\06  市民活動\◎助成・積立・取崩（基金）\00：起案：団体登録\団体情報一覧\団体概要書（更新ごと最新に）pdf\738_prof.pdf","ハンディキャップシアターShow Time")</f>
        <v>ハンディキャップシアターShow Time</v>
      </c>
      <c r="C199" s="32" t="s">
        <v>1136</v>
      </c>
      <c r="D199" s="32" t="s">
        <v>39</v>
      </c>
      <c r="E199" s="33" t="str">
        <f>HYPERLINK("https://showtime-sapporo.com/","https://showtime-sapporo.com/")</f>
        <v>https://showtime-sapporo.com/</v>
      </c>
      <c r="F199" s="34" t="s">
        <v>558</v>
      </c>
      <c r="G199" s="34" t="s">
        <v>558</v>
      </c>
      <c r="H199" s="32" t="s">
        <v>1137</v>
      </c>
      <c r="I199" s="32" t="s">
        <v>1138</v>
      </c>
      <c r="J199" s="32" t="s">
        <v>1139</v>
      </c>
      <c r="K199" s="35" t="s">
        <v>37</v>
      </c>
      <c r="L199" s="35"/>
      <c r="M199" s="35"/>
      <c r="N199" s="35"/>
      <c r="O199" s="35"/>
      <c r="P199" s="35" t="s">
        <v>37</v>
      </c>
      <c r="Q199" s="35"/>
      <c r="R199" s="35"/>
      <c r="S199" s="35"/>
      <c r="T199" s="35"/>
      <c r="U199" s="35"/>
      <c r="V199" s="35"/>
      <c r="W199" s="35"/>
      <c r="X199" s="35"/>
      <c r="Y199" s="35"/>
      <c r="Z199" s="35"/>
      <c r="AA199" s="35"/>
      <c r="AB199" s="35"/>
      <c r="AC199" s="35"/>
    </row>
    <row r="200" spans="1:29" ht="108">
      <c r="A200" s="36">
        <v>741</v>
      </c>
      <c r="B200" s="37" t="str">
        <f>HYPERLINK("\\intranet-fs4\市）地域振興部\14市民自治推進室\06  市民活動\◎助成・積立・取崩（基金）\00：起案：団体登録\団体情報一覧\団体概要書（更新ごと最新に）pdf\741_prof.pdf","特定非営利活動法人　SPフロンティア北海道")</f>
        <v>特定非営利活動法人　SPフロンティア北海道</v>
      </c>
      <c r="C200" s="32" t="s">
        <v>1140</v>
      </c>
      <c r="D200" s="32" t="s">
        <v>1141</v>
      </c>
      <c r="E200" s="41"/>
      <c r="F200" s="34" t="s">
        <v>1142</v>
      </c>
      <c r="G200" s="34" t="s">
        <v>391</v>
      </c>
      <c r="H200" s="32" t="s">
        <v>1143</v>
      </c>
      <c r="I200" s="32" t="s">
        <v>1144</v>
      </c>
      <c r="J200" s="32" t="s">
        <v>1145</v>
      </c>
      <c r="K200" s="35" t="s">
        <v>37</v>
      </c>
      <c r="L200" s="35" t="s">
        <v>37</v>
      </c>
      <c r="M200" s="35"/>
      <c r="N200" s="35"/>
      <c r="O200" s="35"/>
      <c r="P200" s="35"/>
      <c r="Q200" s="35"/>
      <c r="R200" s="35"/>
      <c r="S200" s="35"/>
      <c r="T200" s="35"/>
      <c r="U200" s="35"/>
      <c r="V200" s="35"/>
      <c r="W200" s="35"/>
      <c r="X200" s="35"/>
      <c r="Y200" s="35"/>
      <c r="Z200" s="35"/>
      <c r="AA200" s="35"/>
      <c r="AB200" s="35"/>
      <c r="AC200" s="35" t="s">
        <v>37</v>
      </c>
    </row>
    <row r="201" spans="1:29" ht="162">
      <c r="A201" s="36">
        <v>742</v>
      </c>
      <c r="B201" s="37" t="str">
        <f>HYPERLINK("\\intranet-fs4\市）地域振興部\14市民自治推進室\06  市民活動\◎助成・積立・取崩（基金）\00：起案：団体登録\団体情報一覧\団体概要書（更新ごと最新に）pdf\742_prof.pdf","任意団体　すみかわいきもの調査隊")</f>
        <v>任意団体　すみかわいきもの調査隊</v>
      </c>
      <c r="C201" s="32" t="s">
        <v>1146</v>
      </c>
      <c r="D201" s="32" t="s">
        <v>1147</v>
      </c>
      <c r="E201" s="41"/>
      <c r="F201" s="34" t="s">
        <v>1148</v>
      </c>
      <c r="G201" s="34" t="s">
        <v>1071</v>
      </c>
      <c r="H201" s="32" t="s">
        <v>1149</v>
      </c>
      <c r="I201" s="32" t="s">
        <v>1150</v>
      </c>
      <c r="J201" s="32" t="s">
        <v>1151</v>
      </c>
      <c r="K201" s="35"/>
      <c r="L201" s="35" t="s">
        <v>37</v>
      </c>
      <c r="M201" s="35"/>
      <c r="N201" s="35"/>
      <c r="O201" s="35"/>
      <c r="P201" s="35"/>
      <c r="Q201" s="35" t="s">
        <v>37</v>
      </c>
      <c r="R201" s="35"/>
      <c r="S201" s="35"/>
      <c r="T201" s="35"/>
      <c r="U201" s="35"/>
      <c r="V201" s="35"/>
      <c r="W201" s="35" t="s">
        <v>37</v>
      </c>
      <c r="X201" s="35"/>
      <c r="Y201" s="35" t="s">
        <v>37</v>
      </c>
      <c r="Z201" s="35"/>
      <c r="AA201" s="35"/>
      <c r="AB201" s="35"/>
      <c r="AC201" s="35"/>
    </row>
    <row r="202" spans="1:29" ht="148.5">
      <c r="A202" s="36">
        <v>743</v>
      </c>
      <c r="B202" s="37" t="str">
        <f>HYPERLINK("\\intranet-fs4\市）地域振興部\14市民自治推進室\06  市民活動\◎助成・積立・取崩（基金）\00：起案：団体登録\団体情報一覧\団体概要書（更新ごと最新に）pdf\743_prof.pdf","NPO法人　ドリームキッズチャレンジ")</f>
        <v>NPO法人　ドリームキッズチャレンジ</v>
      </c>
      <c r="C202" s="32" t="s">
        <v>1152</v>
      </c>
      <c r="D202" s="32" t="s">
        <v>79</v>
      </c>
      <c r="E202" s="41"/>
      <c r="F202" s="34" t="s">
        <v>1153</v>
      </c>
      <c r="G202" s="34" t="s">
        <v>1154</v>
      </c>
      <c r="H202" s="32" t="s">
        <v>1155</v>
      </c>
      <c r="I202" s="32" t="s">
        <v>1156</v>
      </c>
      <c r="J202" s="32" t="s">
        <v>1157</v>
      </c>
      <c r="K202" s="35"/>
      <c r="L202" s="35"/>
      <c r="M202" s="35"/>
      <c r="N202" s="35"/>
      <c r="O202" s="35"/>
      <c r="P202" s="35" t="s">
        <v>37</v>
      </c>
      <c r="Q202" s="35"/>
      <c r="R202" s="35"/>
      <c r="S202" s="35"/>
      <c r="T202" s="35"/>
      <c r="U202" s="35"/>
      <c r="V202" s="35"/>
      <c r="W202" s="35" t="s">
        <v>37</v>
      </c>
      <c r="X202" s="35"/>
      <c r="Y202" s="35"/>
      <c r="Z202" s="35"/>
      <c r="AA202" s="35"/>
      <c r="AB202" s="35"/>
      <c r="AC202" s="35"/>
    </row>
    <row r="203" spans="1:29" ht="162">
      <c r="A203" s="36">
        <v>744</v>
      </c>
      <c r="B203" s="37" t="str">
        <f>HYPERLINK("\\intranet-fs4\市）地域振興部\14市民自治推進室\06  市民活動\◎助成・積立・取崩（基金）\00：起案：団体登録\団体情報一覧\団体概要書（更新ごと最新に）pdf\744_prof.pdf","特定非営利活動法人アニマルエンカウンター結")</f>
        <v>特定非営利活動法人アニマルエンカウンター結</v>
      </c>
      <c r="C203" s="32" t="s">
        <v>1158</v>
      </c>
      <c r="D203" s="32" t="s">
        <v>811</v>
      </c>
      <c r="E203" s="33" t="str">
        <f>HYPERLINK("https://encounter.or.jp/","https://encounter.or.jp/")</f>
        <v>https://encounter.or.jp/</v>
      </c>
      <c r="F203" s="34"/>
      <c r="G203" s="34"/>
      <c r="H203" s="32" t="s">
        <v>1159</v>
      </c>
      <c r="I203" s="32" t="s">
        <v>1160</v>
      </c>
      <c r="J203" s="32" t="s">
        <v>1161</v>
      </c>
      <c r="K203" s="35" t="s">
        <v>37</v>
      </c>
      <c r="L203" s="35" t="s">
        <v>37</v>
      </c>
      <c r="M203" s="35" t="s">
        <v>37</v>
      </c>
      <c r="N203" s="35"/>
      <c r="O203" s="35"/>
      <c r="P203" s="35"/>
      <c r="Q203" s="35" t="s">
        <v>37</v>
      </c>
      <c r="R203" s="35" t="s">
        <v>37</v>
      </c>
      <c r="S203" s="35" t="s">
        <v>37</v>
      </c>
      <c r="T203" s="35"/>
      <c r="U203" s="35"/>
      <c r="V203" s="35"/>
      <c r="W203" s="35" t="s">
        <v>37</v>
      </c>
      <c r="X203" s="35" t="s">
        <v>37</v>
      </c>
      <c r="Y203" s="35"/>
      <c r="Z203" s="35"/>
      <c r="AA203" s="35"/>
      <c r="AB203" s="35" t="s">
        <v>37</v>
      </c>
      <c r="AC203" s="35"/>
    </row>
    <row r="204" spans="1:29" ht="175.5">
      <c r="A204" s="36">
        <v>745</v>
      </c>
      <c r="B204" s="37" t="str">
        <f>HYPERLINK("\\intranet-fs4\市）地域振興部\14市民自治推進室\06  市民活動\◎助成・積立・取崩（基金）\00：起案：団体登録\団体情報一覧\団体概要書（更新ごと最新に）pdf\745_prof.pdf","特定非営利活動法人札幌いちご会")</f>
        <v>特定非営利活動法人札幌いちご会</v>
      </c>
      <c r="C204" s="32" t="s">
        <v>1162</v>
      </c>
      <c r="D204" s="32" t="s">
        <v>79</v>
      </c>
      <c r="E204" s="33" t="str">
        <f>HYPERLINK("http://sapporo-ichigokai.jp/","http://sapporo-ichigokai.jp/")</f>
        <v>http://sapporo-ichigokai.jp/</v>
      </c>
      <c r="F204" s="34" t="s">
        <v>597</v>
      </c>
      <c r="G204" s="34" t="s">
        <v>1163</v>
      </c>
      <c r="H204" s="32" t="s">
        <v>1164</v>
      </c>
      <c r="I204" s="32" t="s">
        <v>1165</v>
      </c>
      <c r="J204" s="32" t="s">
        <v>1166</v>
      </c>
      <c r="K204" s="35" t="s">
        <v>37</v>
      </c>
      <c r="L204" s="35"/>
      <c r="M204" s="35" t="s">
        <v>37</v>
      </c>
      <c r="N204" s="35"/>
      <c r="O204" s="35"/>
      <c r="P204" s="35" t="s">
        <v>37</v>
      </c>
      <c r="Q204" s="35"/>
      <c r="R204" s="35"/>
      <c r="S204" s="35"/>
      <c r="T204" s="35" t="s">
        <v>37</v>
      </c>
      <c r="U204" s="35" t="s">
        <v>37</v>
      </c>
      <c r="V204" s="35" t="s">
        <v>37</v>
      </c>
      <c r="W204" s="35" t="s">
        <v>37</v>
      </c>
      <c r="X204" s="35" t="s">
        <v>37</v>
      </c>
      <c r="Y204" s="35"/>
      <c r="Z204" s="35"/>
      <c r="AA204" s="35"/>
      <c r="AB204" s="35"/>
      <c r="AC204" s="35" t="s">
        <v>37</v>
      </c>
    </row>
    <row r="205" spans="1:29" ht="270">
      <c r="A205" s="36">
        <v>746</v>
      </c>
      <c r="B205" s="37" t="str">
        <f>HYPERLINK("\\intranet-fs4\市）地域振興部\14市民自治推進室\06  市民活動\◎助成・積立・取崩（基金）\00：起案：団体登録\団体情報一覧\団体概要書（更新ごと最新に）pdf\746_prof.pdf","特定非営利活動法人ソルウェイズ")</f>
        <v>特定非営利活動法人ソルウェイズ</v>
      </c>
      <c r="C205" s="32" t="s">
        <v>1167</v>
      </c>
      <c r="D205" s="32" t="s">
        <v>1168</v>
      </c>
      <c r="E205" s="38" t="str">
        <f>HYPERLINK("https://solways.or.jp/","https://solways.or.jp/")</f>
        <v>https://solways.or.jp/</v>
      </c>
      <c r="F205" s="34" t="s">
        <v>1169</v>
      </c>
      <c r="G205" s="34" t="s">
        <v>1169</v>
      </c>
      <c r="H205" s="32" t="s">
        <v>1170</v>
      </c>
      <c r="I205" s="32" t="s">
        <v>1171</v>
      </c>
      <c r="J205" s="32" t="s">
        <v>1172</v>
      </c>
      <c r="K205" s="35" t="s">
        <v>37</v>
      </c>
      <c r="L205" s="35" t="s">
        <v>37</v>
      </c>
      <c r="M205" s="35" t="s">
        <v>37</v>
      </c>
      <c r="N205" s="35"/>
      <c r="O205" s="35"/>
      <c r="P205" s="35"/>
      <c r="Q205" s="35"/>
      <c r="R205" s="35" t="s">
        <v>37</v>
      </c>
      <c r="S205" s="35" t="s">
        <v>37</v>
      </c>
      <c r="T205" s="35" t="s">
        <v>37</v>
      </c>
      <c r="U205" s="35"/>
      <c r="V205" s="35" t="s">
        <v>37</v>
      </c>
      <c r="W205" s="35" t="s">
        <v>37</v>
      </c>
      <c r="X205" s="35"/>
      <c r="Y205" s="35"/>
      <c r="Z205" s="35"/>
      <c r="AA205" s="35" t="s">
        <v>37</v>
      </c>
      <c r="AB205" s="35" t="s">
        <v>37</v>
      </c>
      <c r="AC205" s="35" t="s">
        <v>37</v>
      </c>
    </row>
    <row r="206" spans="1:29" ht="189">
      <c r="A206" s="36">
        <v>747</v>
      </c>
      <c r="B206" s="37" t="str">
        <f>HYPERLINK("\\intranet-fs4\市）地域振興部\14市民自治推進室\06  市民活動\◎助成・積立・取崩（基金）\00：起案：団体登録\団体情報一覧\団体概要書（更新ごと最新に）pdf\747_prof.pdf","特定非営利活動法人あえりあ")</f>
        <v>特定非営利活動法人あえりあ</v>
      </c>
      <c r="C206" s="32" t="s">
        <v>1173</v>
      </c>
      <c r="D206" s="32" t="s">
        <v>39</v>
      </c>
      <c r="E206" s="33" t="str">
        <f>HYPERLINK("https://aeria-hp.com/","https://aeria-hp.com/")</f>
        <v>https://aeria-hp.com/</v>
      </c>
      <c r="F206" s="34" t="s">
        <v>1174</v>
      </c>
      <c r="G206" s="34" t="s">
        <v>1174</v>
      </c>
      <c r="H206" s="32" t="s">
        <v>1175</v>
      </c>
      <c r="I206" s="32" t="s">
        <v>1176</v>
      </c>
      <c r="J206" s="32" t="s">
        <v>1177</v>
      </c>
      <c r="K206" s="35" t="s">
        <v>37</v>
      </c>
      <c r="L206" s="35" t="s">
        <v>37</v>
      </c>
      <c r="M206" s="35" t="s">
        <v>37</v>
      </c>
      <c r="N206" s="35"/>
      <c r="O206" s="35"/>
      <c r="P206" s="35"/>
      <c r="Q206" s="35"/>
      <c r="R206" s="35" t="s">
        <v>37</v>
      </c>
      <c r="S206" s="35"/>
      <c r="T206" s="35" t="s">
        <v>37</v>
      </c>
      <c r="U206" s="35"/>
      <c r="V206" s="35" t="s">
        <v>37</v>
      </c>
      <c r="W206" s="35" t="s">
        <v>37</v>
      </c>
      <c r="X206" s="35" t="s">
        <v>37</v>
      </c>
      <c r="Y206" s="35"/>
      <c r="Z206" s="35" t="s">
        <v>37</v>
      </c>
      <c r="AA206" s="35" t="s">
        <v>37</v>
      </c>
      <c r="AB206" s="35"/>
      <c r="AC206" s="35" t="s">
        <v>37</v>
      </c>
    </row>
    <row r="207" spans="1:29" ht="148.5">
      <c r="A207" s="36">
        <v>748</v>
      </c>
      <c r="B207" s="37" t="str">
        <f>HYPERLINK("\\intranet-fs4\市）地域振興部\14市民自治推進室\06  市民活動\◎助成・積立・取崩（基金）\00：起案：団体登録\団体情報一覧\団体概要書（更新ごと最新に）pdf\748_prof.pdf","一般社団法人　北海道被爆者協会")</f>
        <v>一般社団法人　北海道被爆者協会</v>
      </c>
      <c r="C207" s="32" t="s">
        <v>1178</v>
      </c>
      <c r="D207" s="32" t="s">
        <v>79</v>
      </c>
      <c r="E207" s="33" t="str">
        <f>HYPERLINK("http://h-nomore-hibakusha.org","http://h-nomore-hibakusha.org")</f>
        <v>http://h-nomore-hibakusha.org</v>
      </c>
      <c r="F207" s="34" t="s">
        <v>1179</v>
      </c>
      <c r="G207" s="34" t="s">
        <v>1179</v>
      </c>
      <c r="H207" s="32" t="s">
        <v>1180</v>
      </c>
      <c r="I207" s="32" t="s">
        <v>1181</v>
      </c>
      <c r="J207" s="32" t="s">
        <v>1182</v>
      </c>
      <c r="K207" s="35"/>
      <c r="L207" s="35"/>
      <c r="M207" s="35" t="s">
        <v>37</v>
      </c>
      <c r="N207" s="35"/>
      <c r="O207" s="35"/>
      <c r="P207" s="35"/>
      <c r="Q207" s="35"/>
      <c r="R207" s="35"/>
      <c r="S207" s="35"/>
      <c r="T207" s="35" t="s">
        <v>37</v>
      </c>
      <c r="U207" s="35"/>
      <c r="V207" s="35"/>
      <c r="W207" s="35"/>
      <c r="X207" s="35"/>
      <c r="Y207" s="35"/>
      <c r="Z207" s="35"/>
      <c r="AA207" s="35"/>
      <c r="AB207" s="35"/>
      <c r="AC207" s="35"/>
    </row>
    <row r="208" spans="1:29" ht="135">
      <c r="A208" s="36">
        <v>749</v>
      </c>
      <c r="B208" s="37" t="str">
        <f>HYPERLINK("\\intranet-fs4\市）地域振興部\14市民自治推進室\06  市民活動\◎助成・積立・取崩（基金）\00：起案：団体登録\団体情報一覧\団体概要書（更新ごと最新に）pdf\749_prof.pdf","一般社団法人ファミリー支援INV協会")</f>
        <v>一般社団法人ファミリー支援INV協会</v>
      </c>
      <c r="C208" s="32" t="s">
        <v>1183</v>
      </c>
      <c r="D208" s="32" t="s">
        <v>1184</v>
      </c>
      <c r="E208" s="38" t="str">
        <f>HYPERLINK("https://sites.google.com/view/familytookie/","https://sites.google.com/view/familytookie/")</f>
        <v>https://sites.google.com/view/familytookie/</v>
      </c>
      <c r="F208" s="34" t="s">
        <v>1154</v>
      </c>
      <c r="G208" s="34" t="s">
        <v>1154</v>
      </c>
      <c r="H208" s="32" t="s">
        <v>1185</v>
      </c>
      <c r="I208" s="32" t="s">
        <v>1186</v>
      </c>
      <c r="J208" s="32" t="s">
        <v>1187</v>
      </c>
      <c r="K208" s="35" t="s">
        <v>37</v>
      </c>
      <c r="L208" s="35"/>
      <c r="M208" s="35" t="s">
        <v>37</v>
      </c>
      <c r="N208" s="35"/>
      <c r="O208" s="35"/>
      <c r="P208" s="35"/>
      <c r="Q208" s="35"/>
      <c r="R208" s="35"/>
      <c r="S208" s="35"/>
      <c r="T208" s="35"/>
      <c r="U208" s="35"/>
      <c r="V208" s="35"/>
      <c r="W208" s="35" t="s">
        <v>37</v>
      </c>
      <c r="X208" s="35"/>
      <c r="Y208" s="35"/>
      <c r="Z208" s="35"/>
      <c r="AA208" s="35"/>
      <c r="AB208" s="35"/>
      <c r="AC208" s="35" t="s">
        <v>37</v>
      </c>
    </row>
    <row r="209" spans="1:29" ht="409.5">
      <c r="A209" s="36">
        <v>750</v>
      </c>
      <c r="B209" s="37" t="str">
        <f>HYPERLINK("\\intranet-fs4\市）地域振興部\14市民自治推進室\06  市民活動\◎助成・積立・取崩（基金）\00：起案：団体登録\団体情報一覧\団体概要書（更新ごと最新に）pdf\750_prof.pdf","エシカルンテさっぽろ")</f>
        <v>エシカルンテさっぽろ</v>
      </c>
      <c r="C209" s="32" t="s">
        <v>1188</v>
      </c>
      <c r="D209" s="32" t="s">
        <v>79</v>
      </c>
      <c r="E209" s="33" t="str">
        <f>HYPERLINK("https://nsla-sapporo.com/","https://nsla-sapporo.com/")</f>
        <v>https://nsla-sapporo.com/</v>
      </c>
      <c r="F209" s="34" t="s">
        <v>1189</v>
      </c>
      <c r="G209" s="34" t="s">
        <v>1189</v>
      </c>
      <c r="H209" s="32" t="s">
        <v>1190</v>
      </c>
      <c r="I209" s="32" t="s">
        <v>1191</v>
      </c>
      <c r="J209" s="32" t="s">
        <v>1192</v>
      </c>
      <c r="K209" s="35"/>
      <c r="L209" s="35"/>
      <c r="M209" s="35" t="s">
        <v>37</v>
      </c>
      <c r="N209" s="35"/>
      <c r="O209" s="35"/>
      <c r="P209" s="35"/>
      <c r="Q209" s="35" t="s">
        <v>37</v>
      </c>
      <c r="R209" s="35"/>
      <c r="S209" s="35"/>
      <c r="T209" s="35"/>
      <c r="U209" s="35"/>
      <c r="V209" s="35"/>
      <c r="W209" s="35" t="s">
        <v>37</v>
      </c>
      <c r="X209" s="35"/>
      <c r="Y209" s="35"/>
      <c r="Z209" s="35"/>
      <c r="AA209" s="35"/>
      <c r="AB209" s="35"/>
      <c r="AC209" s="35"/>
    </row>
    <row r="210" spans="1:29" ht="135">
      <c r="A210" s="36">
        <v>751</v>
      </c>
      <c r="B210" s="37" t="str">
        <f>HYPERLINK("\\intranet-fs4\市）地域振興部\14市民自治推進室\06  市民活動\◎助成・積立・取崩（基金）\00：起案：団体登録\団体情報一覧\団体概要書（更新ごと最新に）pdf\751_prof.pdf","特定非営利活動法人メリーライズ")</f>
        <v>特定非営利活動法人メリーライズ</v>
      </c>
      <c r="C210" s="32" t="s">
        <v>1193</v>
      </c>
      <c r="D210" s="32" t="s">
        <v>1194</v>
      </c>
      <c r="E210" s="38" t="str">
        <f>HYPERLINK("https://www.merryrise.or.jp/","https://www.merryrise.or.jp/")</f>
        <v>https://www.merryrise.or.jp/</v>
      </c>
      <c r="F210" s="34" t="s">
        <v>1195</v>
      </c>
      <c r="G210" s="34" t="s">
        <v>1195</v>
      </c>
      <c r="H210" s="32" t="s">
        <v>1196</v>
      </c>
      <c r="I210" s="32" t="s">
        <v>1197</v>
      </c>
      <c r="J210" s="32" t="s">
        <v>1198</v>
      </c>
      <c r="K210" s="35" t="s">
        <v>37</v>
      </c>
      <c r="L210" s="35" t="s">
        <v>37</v>
      </c>
      <c r="M210" s="35"/>
      <c r="N210" s="35"/>
      <c r="O210" s="35"/>
      <c r="P210" s="35"/>
      <c r="Q210" s="35"/>
      <c r="R210" s="35"/>
      <c r="S210" s="35"/>
      <c r="T210" s="35"/>
      <c r="U210" s="35"/>
      <c r="V210" s="35"/>
      <c r="W210" s="35" t="s">
        <v>37</v>
      </c>
      <c r="X210" s="35"/>
      <c r="Y210" s="35"/>
      <c r="Z210" s="35"/>
      <c r="AA210" s="35"/>
      <c r="AB210" s="35"/>
      <c r="AC210" s="35"/>
    </row>
    <row r="211" spans="1:29" ht="94.5">
      <c r="A211" s="36">
        <v>752</v>
      </c>
      <c r="B211" s="37" t="str">
        <f>HYPERLINK("\\intranet-fs4\市）地域振興部\14市民自治推進室\06  市民活動\◎助成・積立・取崩（基金）\00：起案：団体登録\団体情報一覧\団体概要書（更新ごと最新に）pdf\752_prof.pdf","特定非営利活動法人Sapporo Youth Creation")</f>
        <v>特定非営利活動法人Sapporo Youth Creation</v>
      </c>
      <c r="C211" s="32" t="s">
        <v>1199</v>
      </c>
      <c r="D211" s="32" t="s">
        <v>1200</v>
      </c>
      <c r="E211" s="33" t="str">
        <f>HYPERLINK("sapporoyouthcreation.comhttp://sapporoyouthcreation.com","sapporoyouthcreation.comhttp://sapporoyouthcreation.com")</f>
        <v>sapporoyouthcreation.comhttp://sapporoyouthcreation.com</v>
      </c>
      <c r="F211" s="34" t="s">
        <v>1153</v>
      </c>
      <c r="G211" s="34" t="s">
        <v>1201</v>
      </c>
      <c r="H211" s="32" t="s">
        <v>1202</v>
      </c>
      <c r="I211" s="32" t="s">
        <v>1203</v>
      </c>
      <c r="J211" s="32" t="s">
        <v>1204</v>
      </c>
      <c r="K211" s="35"/>
      <c r="L211" s="35" t="s">
        <v>37</v>
      </c>
      <c r="M211" s="35" t="s">
        <v>37</v>
      </c>
      <c r="N211" s="35"/>
      <c r="O211" s="35"/>
      <c r="P211" s="35" t="s">
        <v>37</v>
      </c>
      <c r="Q211" s="35"/>
      <c r="R211" s="35"/>
      <c r="S211" s="35"/>
      <c r="T211" s="35"/>
      <c r="U211" s="35"/>
      <c r="V211" s="35"/>
      <c r="W211" s="35" t="s">
        <v>37</v>
      </c>
      <c r="X211" s="35"/>
      <c r="Y211" s="35"/>
      <c r="Z211" s="35"/>
      <c r="AA211" s="35" t="s">
        <v>37</v>
      </c>
      <c r="AB211" s="35"/>
      <c r="AC211" s="35" t="s">
        <v>37</v>
      </c>
    </row>
    <row r="212" spans="1:29" ht="162">
      <c r="A212" s="36">
        <v>753</v>
      </c>
      <c r="B212" s="37" t="str">
        <f>HYPERLINK("\\intranet-fs4\市）地域振興部\14市民自治推進室\06  市民活動\◎助成・積立・取崩（基金）\00：起案：団体登録\団体情報一覧\団体概要書（更新ごと最新に）pdf\753_prof.pdf","一般社団法人清田区風の谷協働研究ラボ")</f>
        <v>一般社団法人清田区風の谷協働研究ラボ</v>
      </c>
      <c r="C212" s="32" t="s">
        <v>1205</v>
      </c>
      <c r="D212" s="32" t="s">
        <v>1206</v>
      </c>
      <c r="E212" s="33" t="str">
        <f>HYPERLINK("https://www.kiyotakazelabo.net/","https://www.kiyotakazelabo.net/")</f>
        <v>https://www.kiyotakazelabo.net/</v>
      </c>
      <c r="F212" s="34" t="s">
        <v>1207</v>
      </c>
      <c r="G212" s="34" t="s">
        <v>1201</v>
      </c>
      <c r="H212" s="32" t="s">
        <v>1208</v>
      </c>
      <c r="I212" s="32" t="s">
        <v>1209</v>
      </c>
      <c r="J212" s="32" t="s">
        <v>1210</v>
      </c>
      <c r="K212" s="35"/>
      <c r="L212" s="35"/>
      <c r="M212" s="35" t="s">
        <v>37</v>
      </c>
      <c r="N212" s="35"/>
      <c r="O212" s="35"/>
      <c r="P212" s="35"/>
      <c r="Q212" s="35" t="s">
        <v>37</v>
      </c>
      <c r="R212" s="35"/>
      <c r="S212" s="35"/>
      <c r="T212" s="35"/>
      <c r="U212" s="35"/>
      <c r="V212" s="35"/>
      <c r="W212" s="35"/>
      <c r="X212" s="35"/>
      <c r="Y212" s="35"/>
      <c r="Z212" s="35"/>
      <c r="AA212" s="35"/>
      <c r="AB212" s="35"/>
      <c r="AC212" s="35"/>
    </row>
    <row r="213" spans="1:29" ht="67.5">
      <c r="A213" s="36">
        <v>754</v>
      </c>
      <c r="B213" s="37" t="str">
        <f>HYPERLINK("\\intranet-fs4\市）地域振興部\14市民自治推進室\06  市民活動\◎助成・積立・取崩（基金）\00：起案：団体登録\団体情報一覧\団体概要書（更新ごと最新に）pdf\754_prof.pdf","Hokudai Food Bank")</f>
        <v>Hokudai Food Bank</v>
      </c>
      <c r="C213" s="32" t="s">
        <v>1211</v>
      </c>
      <c r="D213" s="32" t="s">
        <v>79</v>
      </c>
      <c r="E213" s="41"/>
      <c r="F213" s="34" t="s">
        <v>1212</v>
      </c>
      <c r="G213" s="34" t="s">
        <v>1212</v>
      </c>
      <c r="H213" s="32" t="s">
        <v>1213</v>
      </c>
      <c r="I213" s="32" t="s">
        <v>1214</v>
      </c>
      <c r="J213" s="32" t="s">
        <v>1215</v>
      </c>
      <c r="K213" s="35" t="s">
        <v>37</v>
      </c>
      <c r="L213" s="35" t="s">
        <v>37</v>
      </c>
      <c r="M213" s="35" t="s">
        <v>37</v>
      </c>
      <c r="N213" s="35"/>
      <c r="O213" s="35"/>
      <c r="P213" s="35"/>
      <c r="Q213" s="35"/>
      <c r="R213" s="35"/>
      <c r="S213" s="35"/>
      <c r="T213" s="35"/>
      <c r="U213" s="35"/>
      <c r="V213" s="35"/>
      <c r="W213" s="35" t="s">
        <v>37</v>
      </c>
      <c r="X213" s="35"/>
      <c r="Y213" s="35"/>
      <c r="Z213" s="35"/>
      <c r="AA213" s="35"/>
      <c r="AB213" s="35"/>
      <c r="AC213" s="35"/>
    </row>
    <row r="214" spans="1:29" ht="162">
      <c r="A214" s="36">
        <v>755</v>
      </c>
      <c r="B214" s="37" t="str">
        <f>HYPERLINK("\\intranet-fs4\市）地域振興部\14市民自治推進室\06  市民活動\◎助成・積立・取崩（基金）\00：起案：団体登録\団体情報一覧\団体概要書（更新ごと最新に）pdf\755_prof.pdf","特定非営利活動法人　北海道ファミリーハウス")</f>
        <v>特定非営利活動法人　北海道ファミリーハウス</v>
      </c>
      <c r="C214" s="32" t="s">
        <v>1216</v>
      </c>
      <c r="D214" s="32" t="s">
        <v>66</v>
      </c>
      <c r="E214" s="33" t="str">
        <f>HYPERLINK("https://hokkaido-familyhouse.com/","https://hokkaido-familyhouse.com/")</f>
        <v>https://hokkaido-familyhouse.com/</v>
      </c>
      <c r="F214" s="34" t="s">
        <v>126</v>
      </c>
      <c r="G214" s="34" t="s">
        <v>1217</v>
      </c>
      <c r="H214" s="32" t="s">
        <v>1218</v>
      </c>
      <c r="I214" s="32" t="s">
        <v>1219</v>
      </c>
      <c r="J214" s="32" t="s">
        <v>1220</v>
      </c>
      <c r="K214" s="35" t="s">
        <v>37</v>
      </c>
      <c r="L214" s="35"/>
      <c r="M214" s="35"/>
      <c r="N214" s="35"/>
      <c r="O214" s="35"/>
      <c r="P214" s="35"/>
      <c r="Q214" s="35"/>
      <c r="R214" s="35"/>
      <c r="S214" s="35"/>
      <c r="T214" s="35"/>
      <c r="U214" s="35"/>
      <c r="V214" s="35"/>
      <c r="W214" s="35"/>
      <c r="X214" s="35"/>
      <c r="Y214" s="35"/>
      <c r="Z214" s="35"/>
      <c r="AA214" s="35"/>
      <c r="AB214" s="35"/>
      <c r="AC214" s="35"/>
    </row>
    <row r="215" spans="1:29" ht="202.5">
      <c r="A215" s="36">
        <v>756</v>
      </c>
      <c r="B215" s="37" t="str">
        <f>HYPERLINK("\\intranet-fs4\市）地域振興部\14市民自治推進室\06  市民活動\◎助成・積立・取崩（基金）\00：起案：団体登録\団体情報一覧\団体概要書（更新ごと最新に）pdf\756_prof.pdf","フードロスミュージアム実行委員会")</f>
        <v>フードロスミュージアム実行委員会</v>
      </c>
      <c r="C215" s="32" t="s">
        <v>1221</v>
      </c>
      <c r="D215" s="32" t="s">
        <v>1222</v>
      </c>
      <c r="E215" s="33" t="str">
        <f>HYPERLINK("https://www.foodloss.cc/","https://www.foodloss.cc/")</f>
        <v>https://www.foodloss.cc/</v>
      </c>
      <c r="F215" s="34" t="s">
        <v>1195</v>
      </c>
      <c r="G215" s="34" t="s">
        <v>1195</v>
      </c>
      <c r="H215" s="32" t="s">
        <v>1223</v>
      </c>
      <c r="I215" s="32" t="s">
        <v>1224</v>
      </c>
      <c r="J215" s="32" t="s">
        <v>1225</v>
      </c>
      <c r="K215" s="35"/>
      <c r="L215" s="35"/>
      <c r="M215" s="35" t="s">
        <v>37</v>
      </c>
      <c r="N215" s="35"/>
      <c r="O215" s="35" t="s">
        <v>37</v>
      </c>
      <c r="P215" s="35"/>
      <c r="Q215" s="35" t="s">
        <v>37</v>
      </c>
      <c r="R215" s="35"/>
      <c r="S215" s="35"/>
      <c r="T215" s="35"/>
      <c r="U215" s="35"/>
      <c r="V215" s="35"/>
      <c r="W215" s="35"/>
      <c r="X215" s="35"/>
      <c r="Y215" s="35"/>
      <c r="Z215" s="35"/>
      <c r="AA215" s="35"/>
      <c r="AB215" s="35"/>
      <c r="AC215" s="35"/>
    </row>
    <row r="216" spans="1:29" ht="108">
      <c r="A216" s="36">
        <v>757</v>
      </c>
      <c r="B216" s="37" t="str">
        <f>HYPERLINK("\\intranet-fs4\市）地域振興部\14市民自治推進室\06  市民活動\◎助成・積立・取崩（基金）\00：起案：団体登録\団体情報一覧\団体概要書（更新ごと最新に）pdf\757_prof.pdf","特定非営利活動法人ｏｓ　Ｆｏｒｗａｒｄ")</f>
        <v>特定非営利活動法人ｏｓ　Ｆｏｒｗａｒｄ</v>
      </c>
      <c r="C216" s="32" t="s">
        <v>1226</v>
      </c>
      <c r="D216" s="32" t="s">
        <v>1227</v>
      </c>
      <c r="E216" s="33" t="str">
        <f>HYPERLINK("https://osforward.or.jp/","https://osforward.or.jp/")</f>
        <v>https://osforward.or.jp/</v>
      </c>
      <c r="F216" s="34" t="s">
        <v>1228</v>
      </c>
      <c r="G216" s="34" t="s">
        <v>1228</v>
      </c>
      <c r="H216" s="32" t="s">
        <v>1229</v>
      </c>
      <c r="I216" s="32" t="s">
        <v>1230</v>
      </c>
      <c r="J216" s="32" t="s">
        <v>1231</v>
      </c>
      <c r="K216" s="35" t="s">
        <v>37</v>
      </c>
      <c r="L216" s="35"/>
      <c r="M216" s="35" t="s">
        <v>37</v>
      </c>
      <c r="N216" s="35"/>
      <c r="O216" s="35"/>
      <c r="P216" s="35"/>
      <c r="Q216" s="35"/>
      <c r="R216" s="35"/>
      <c r="S216" s="35"/>
      <c r="T216" s="35"/>
      <c r="U216" s="35"/>
      <c r="V216" s="35"/>
      <c r="W216" s="35"/>
      <c r="X216" s="35"/>
      <c r="Y216" s="35"/>
      <c r="Z216" s="35"/>
      <c r="AA216" s="35"/>
      <c r="AB216" s="35"/>
      <c r="AC216" s="35"/>
    </row>
    <row r="217" spans="1:29" ht="297">
      <c r="A217" s="36">
        <v>758</v>
      </c>
      <c r="B217" s="37" t="str">
        <f>HYPERLINK("\\intranet-fs4\市）地域振興部\14市民自治推進室\06  市民活動\◎助成・積立・取崩（基金）\00：起案：団体登録\団体情報一覧\団体概要書（更新ごと最新に）pdf\758_prof.pdf","学生団体wacco")</f>
        <v>学生団体wacco</v>
      </c>
      <c r="C217" s="32" t="s">
        <v>1232</v>
      </c>
      <c r="D217" s="32" t="s">
        <v>1233</v>
      </c>
      <c r="E217" s="41"/>
      <c r="F217" s="34" t="s">
        <v>1234</v>
      </c>
      <c r="G217" s="34" t="s">
        <v>1234</v>
      </c>
      <c r="H217" s="32" t="s">
        <v>1235</v>
      </c>
      <c r="I217" s="32" t="s">
        <v>1236</v>
      </c>
      <c r="J217" s="32" t="s">
        <v>1237</v>
      </c>
      <c r="K217" s="35" t="s">
        <v>37</v>
      </c>
      <c r="L217" s="35" t="s">
        <v>37</v>
      </c>
      <c r="M217" s="35" t="s">
        <v>37</v>
      </c>
      <c r="N217" s="35"/>
      <c r="O217" s="35"/>
      <c r="P217" s="35"/>
      <c r="Q217" s="35"/>
      <c r="R217" s="35"/>
      <c r="S217" s="35" t="s">
        <v>37</v>
      </c>
      <c r="T217" s="35"/>
      <c r="U217" s="35"/>
      <c r="V217" s="35"/>
      <c r="W217" s="35"/>
      <c r="X217" s="35"/>
      <c r="Y217" s="35"/>
      <c r="Z217" s="35" t="s">
        <v>37</v>
      </c>
      <c r="AA217" s="35"/>
      <c r="AB217" s="35"/>
      <c r="AC217" s="35"/>
    </row>
    <row r="218" spans="1:29" ht="337.5">
      <c r="A218" s="36">
        <v>759</v>
      </c>
      <c r="B218" s="37" t="str">
        <f>HYPERLINK("\\intranet-fs4\市）地域振興部\14市民自治推進室\06  市民活動\◎助成・積立・取崩（基金）\00：起案：団体登録\団体情報一覧\団体概要書（更新ごと最新に）pdf\759_prof.pdf","特定非営利活動法人ジャパン・ドリーム・アーツ")</f>
        <v>特定非営利活動法人ジャパン・ドリーム・アーツ</v>
      </c>
      <c r="C218" s="32" t="s">
        <v>1238</v>
      </c>
      <c r="D218" s="32" t="s">
        <v>79</v>
      </c>
      <c r="E218" s="33" t="str">
        <f>HYPERLINK("https://japandreamarts.com/","https://japandreamarts.com/")</f>
        <v>https://japandreamarts.com/</v>
      </c>
      <c r="F218" s="34" t="s">
        <v>1239</v>
      </c>
      <c r="G218" s="34" t="s">
        <v>1071</v>
      </c>
      <c r="H218" s="32" t="s">
        <v>1240</v>
      </c>
      <c r="I218" s="32" t="s">
        <v>1241</v>
      </c>
      <c r="J218" s="32" t="s">
        <v>1242</v>
      </c>
      <c r="K218" s="35"/>
      <c r="L218" s="35" t="s">
        <v>37</v>
      </c>
      <c r="M218" s="35"/>
      <c r="N218" s="35"/>
      <c r="O218" s="35"/>
      <c r="P218" s="35" t="s">
        <v>37</v>
      </c>
      <c r="Q218" s="35"/>
      <c r="R218" s="35"/>
      <c r="S218" s="35"/>
      <c r="T218" s="35"/>
      <c r="U218" s="35"/>
      <c r="V218" s="35"/>
      <c r="W218" s="35" t="s">
        <v>37</v>
      </c>
      <c r="X218" s="35"/>
      <c r="Y218" s="35"/>
      <c r="Z218" s="35"/>
      <c r="AA218" s="35"/>
      <c r="AB218" s="35"/>
      <c r="AC218" s="35" t="s">
        <v>37</v>
      </c>
    </row>
    <row r="219" spans="1:29" ht="162">
      <c r="A219" s="36">
        <v>760</v>
      </c>
      <c r="B219" s="37" t="str">
        <f>HYPERLINK("\\intranet-fs4\市）地域振興部\14市民自治推進室\06  市民活動\◎助成・積立・取崩（基金）\00：起案：団体登録\団体情報一覧\団体概要書（更新ごと最新に）pdf\760_prof.pdf","北海道レインボー・リソースセンター　Ｌ－Ｐｏｒｔ")</f>
        <v>北海道レインボー・リソースセンター　Ｌ－Ｐｏｒｔ</v>
      </c>
      <c r="C219" s="32" t="s">
        <v>1243</v>
      </c>
      <c r="D219" s="32" t="s">
        <v>66</v>
      </c>
      <c r="E219" s="33" t="str">
        <f>HYPERLINK("https://l-port.net/","https://l-port.net/")</f>
        <v>https://l-port.net/</v>
      </c>
      <c r="F219" s="34" t="s">
        <v>1244</v>
      </c>
      <c r="G219" s="34" t="s">
        <v>1244</v>
      </c>
      <c r="H219" s="32" t="s">
        <v>1245</v>
      </c>
      <c r="I219" s="32" t="s">
        <v>1246</v>
      </c>
      <c r="J219" s="32" t="s">
        <v>1247</v>
      </c>
      <c r="K219" s="35" t="s">
        <v>37</v>
      </c>
      <c r="L219" s="35" t="s">
        <v>37</v>
      </c>
      <c r="M219" s="35"/>
      <c r="N219" s="35"/>
      <c r="O219" s="35"/>
      <c r="P219" s="35"/>
      <c r="Q219" s="35"/>
      <c r="R219" s="35"/>
      <c r="S219" s="35"/>
      <c r="T219" s="35" t="s">
        <v>37</v>
      </c>
      <c r="U219" s="35"/>
      <c r="V219" s="35" t="s">
        <v>37</v>
      </c>
      <c r="W219" s="35" t="s">
        <v>37</v>
      </c>
      <c r="X219" s="35" t="s">
        <v>37</v>
      </c>
      <c r="Y219" s="35"/>
      <c r="Z219" s="35"/>
      <c r="AA219" s="35"/>
      <c r="AB219" s="35"/>
      <c r="AC219" s="35" t="s">
        <v>37</v>
      </c>
    </row>
    <row r="220" spans="1:29" ht="148.5">
      <c r="A220" s="36">
        <v>761</v>
      </c>
      <c r="B220" s="37" t="str">
        <f>HYPERLINK("\\intranet-fs4\市）地域振興部\14市民自治推進室\06  市民活動\◎助成・積立・取崩（基金）\00：起案：団体登録\団体情報一覧\団体概要書（更新ごと最新に）pdf\761_prof.pdf","特定非営利活動法人　あい")</f>
        <v>特定非営利活動法人　あい</v>
      </c>
      <c r="C220" s="32" t="s">
        <v>1248</v>
      </c>
      <c r="D220" s="32" t="s">
        <v>257</v>
      </c>
      <c r="E220" s="33" t="str">
        <f>HYPERLINK("https://www.aichanchi.or.jp","https://www.aichanchi.or.jp")</f>
        <v>https://www.aichanchi.or.jp</v>
      </c>
      <c r="F220" s="34" t="s">
        <v>994</v>
      </c>
      <c r="G220" s="34" t="s">
        <v>994</v>
      </c>
      <c r="H220" s="32" t="s">
        <v>1249</v>
      </c>
      <c r="I220" s="32" t="s">
        <v>1250</v>
      </c>
      <c r="J220" s="32" t="s">
        <v>1251</v>
      </c>
      <c r="K220" s="35" t="s">
        <v>37</v>
      </c>
      <c r="L220" s="35" t="s">
        <v>37</v>
      </c>
      <c r="M220" s="35"/>
      <c r="N220" s="35"/>
      <c r="O220" s="35"/>
      <c r="P220" s="35"/>
      <c r="Q220" s="35"/>
      <c r="R220" s="35"/>
      <c r="S220" s="35"/>
      <c r="T220" s="35" t="s">
        <v>37</v>
      </c>
      <c r="U220" s="35"/>
      <c r="V220" s="35"/>
      <c r="W220" s="35" t="s">
        <v>37</v>
      </c>
      <c r="X220" s="35"/>
      <c r="Y220" s="35"/>
      <c r="Z220" s="35"/>
      <c r="AA220" s="35"/>
      <c r="AB220" s="35"/>
      <c r="AC220" s="35"/>
    </row>
    <row r="221" spans="1:29" ht="94.5">
      <c r="A221" s="36">
        <v>762</v>
      </c>
      <c r="B221" s="37" t="str">
        <f>HYPERLINK("\\intranet-fs4\市）地域振興部\14市民自治推進室\06  市民活動\◎助成・積立・取崩（基金）\00：起案：団体登録\団体情報一覧\団体概要書（更新ごと最新に）pdf\762_prof.pdf","大通地区社会福祉協議会")</f>
        <v>大通地区社会福祉協議会</v>
      </c>
      <c r="C221" s="32" t="s">
        <v>1252</v>
      </c>
      <c r="D221" s="32" t="s">
        <v>1253</v>
      </c>
      <c r="E221" s="41"/>
      <c r="F221" s="34" t="s">
        <v>1254</v>
      </c>
      <c r="G221" s="34" t="s">
        <v>1254</v>
      </c>
      <c r="H221" s="32" t="s">
        <v>1255</v>
      </c>
      <c r="I221" s="32" t="s">
        <v>1256</v>
      </c>
      <c r="J221" s="32" t="s">
        <v>1257</v>
      </c>
      <c r="K221" s="35" t="s">
        <v>37</v>
      </c>
      <c r="L221" s="35"/>
      <c r="M221" s="35" t="s">
        <v>37</v>
      </c>
      <c r="N221" s="35"/>
      <c r="O221" s="35"/>
      <c r="P221" s="35"/>
      <c r="Q221" s="35"/>
      <c r="R221" s="35"/>
      <c r="S221" s="35"/>
      <c r="T221" s="35"/>
      <c r="U221" s="35"/>
      <c r="V221" s="35"/>
      <c r="W221" s="35" t="s">
        <v>37</v>
      </c>
      <c r="X221" s="35"/>
      <c r="Y221" s="35"/>
      <c r="Z221" s="35"/>
      <c r="AA221" s="35"/>
      <c r="AB221" s="35"/>
      <c r="AC221" s="35"/>
    </row>
    <row r="222" spans="1:29" ht="27">
      <c r="A222" s="36">
        <v>763</v>
      </c>
      <c r="B222" s="37" t="str">
        <f>HYPERLINK("\\intranet-fs4\市）地域振興部\14市民自治推進室\06  市民活動\◎助成・積立・取崩（基金）\00：起案：団体登録\団体情報一覧\団体概要書（更新ごと最新に）pdf\763_prof.pdf","宮の森盆踊り同好会")</f>
        <v>宮の森盆踊り同好会</v>
      </c>
      <c r="C222" s="32" t="s">
        <v>1258</v>
      </c>
      <c r="D222" s="32" t="s">
        <v>1259</v>
      </c>
      <c r="E222" s="41"/>
      <c r="F222" s="34" t="s">
        <v>1260</v>
      </c>
      <c r="G222" s="34" t="s">
        <v>1260</v>
      </c>
      <c r="H222" s="32" t="s">
        <v>1261</v>
      </c>
      <c r="I222" s="32" t="s">
        <v>1262</v>
      </c>
      <c r="J222" s="32" t="s">
        <v>1263</v>
      </c>
      <c r="K222" s="35"/>
      <c r="L222" s="35"/>
      <c r="M222" s="35" t="s">
        <v>37</v>
      </c>
      <c r="N222" s="35"/>
      <c r="O222" s="35"/>
      <c r="P222" s="35"/>
      <c r="Q222" s="35"/>
      <c r="R222" s="35"/>
      <c r="S222" s="35"/>
      <c r="T222" s="35"/>
      <c r="U222" s="35"/>
      <c r="V222" s="35"/>
      <c r="W222" s="35" t="s">
        <v>37</v>
      </c>
      <c r="X222" s="35"/>
      <c r="Y222" s="35"/>
      <c r="Z222" s="35"/>
      <c r="AA222" s="35"/>
      <c r="AB222" s="35"/>
      <c r="AC222" s="35"/>
    </row>
    <row r="223" spans="1:29" ht="135">
      <c r="A223" s="36">
        <v>764</v>
      </c>
      <c r="B223" s="37" t="str">
        <f>HYPERLINK("\\intranet-fs4\市）地域振興部\14市民自治推進室\06  市民活動\◎助成・積立・取崩（基金）\00：起案：団体登録\団体情報一覧\団体概要書（更新ごと最新に）pdf\764_prof.pdf","特定非営利活動法人TSUNAGU")</f>
        <v>特定非営利活動法人TSUNAGU</v>
      </c>
      <c r="C223" s="32" t="s">
        <v>1264</v>
      </c>
      <c r="D223" s="32" t="s">
        <v>430</v>
      </c>
      <c r="E223" s="33" t="str">
        <f>HYPERLINK("http://www.tsunagu-tsunagu-tsunagu.com","http://www.tsunagu-tsunagu-tsunagu.com")</f>
        <v>http://www.tsunagu-tsunagu-tsunagu.com</v>
      </c>
      <c r="F223" s="34" t="s">
        <v>1201</v>
      </c>
      <c r="G223" s="34" t="s">
        <v>1071</v>
      </c>
      <c r="H223" s="32" t="s">
        <v>1265</v>
      </c>
      <c r="I223" s="32" t="s">
        <v>1266</v>
      </c>
      <c r="J223" s="32" t="s">
        <v>1267</v>
      </c>
      <c r="K223" s="35"/>
      <c r="L223" s="35" t="s">
        <v>37</v>
      </c>
      <c r="M223" s="35"/>
      <c r="N223" s="35"/>
      <c r="O223" s="35"/>
      <c r="P223" s="35"/>
      <c r="Q223" s="35" t="s">
        <v>37</v>
      </c>
      <c r="R223" s="35"/>
      <c r="S223" s="35" t="s">
        <v>37</v>
      </c>
      <c r="T223" s="35"/>
      <c r="U223" s="35" t="s">
        <v>37</v>
      </c>
      <c r="V223" s="35"/>
      <c r="W223" s="35" t="s">
        <v>37</v>
      </c>
      <c r="X223" s="35"/>
      <c r="Y223" s="35"/>
      <c r="Z223" s="35"/>
      <c r="AA223" s="35"/>
      <c r="AB223" s="35"/>
      <c r="AC223" s="35" t="s">
        <v>37</v>
      </c>
    </row>
    <row r="224" spans="1:29" ht="54">
      <c r="A224" s="36">
        <v>765</v>
      </c>
      <c r="B224" s="37" t="str">
        <f>HYPERLINK("\\intranet-fs4\市）地域振興部\14市民自治推進室\06  市民活動\◎助成・積立・取崩（基金）\00：起案：団体登録\団体情報一覧\団体概要書（更新ごと最新に）pdf\765_prof.pdf","特定非営利活動法人ソフテニ道場")</f>
        <v>特定非営利活動法人ソフテニ道場</v>
      </c>
      <c r="C224" s="32" t="s">
        <v>1268</v>
      </c>
      <c r="D224" s="32" t="s">
        <v>1269</v>
      </c>
      <c r="E224" s="33" t="str">
        <f>HYPERLINK("https://softeni-dojo.jimdofree.com/","https://softeni-dojo.jimdofree.com/")</f>
        <v>https://softeni-dojo.jimdofree.com/</v>
      </c>
      <c r="F224" s="34" t="s">
        <v>1270</v>
      </c>
      <c r="G224" s="34" t="s">
        <v>1270</v>
      </c>
      <c r="H224" s="32" t="s">
        <v>1271</v>
      </c>
      <c r="I224" s="32" t="s">
        <v>1272</v>
      </c>
      <c r="J224" s="32" t="s">
        <v>1273</v>
      </c>
      <c r="K224" s="35" t="s">
        <v>37</v>
      </c>
      <c r="L224" s="35"/>
      <c r="M224" s="35"/>
      <c r="N224" s="35"/>
      <c r="O224" s="35"/>
      <c r="P224" s="35" t="s">
        <v>37</v>
      </c>
      <c r="Q224" s="35"/>
      <c r="R224" s="35"/>
      <c r="S224" s="35"/>
      <c r="T224" s="35"/>
      <c r="U224" s="35"/>
      <c r="V224" s="35"/>
      <c r="W224" s="35" t="s">
        <v>37</v>
      </c>
      <c r="X224" s="35"/>
      <c r="Y224" s="35"/>
      <c r="Z224" s="35"/>
      <c r="AA224" s="35"/>
      <c r="AB224" s="35"/>
      <c r="AC224" s="35"/>
    </row>
    <row r="225" spans="1:29" ht="162">
      <c r="A225" s="36">
        <v>766</v>
      </c>
      <c r="B225" s="37" t="str">
        <f>HYPERLINK("\\intranet-fs4\市）地域振興部\14市民自治推進室\06  市民活動\◎助成・積立・取崩（基金）\00：起案：団体登録\団体情報一覧\団体概要書（更新ごと最新に）pdf\766_prof.pdf","おとなりSMILE実行委員会")</f>
        <v>おとなりSMILE実行委員会</v>
      </c>
      <c r="C225" s="32" t="s">
        <v>1274</v>
      </c>
      <c r="D225" s="32" t="s">
        <v>79</v>
      </c>
      <c r="E225" s="33" t="str">
        <f>HYPERLINK("http://www.otonarismile.jp/index.html","http://www.otonarismile.jp/index.html")</f>
        <v>http://www.otonarismile.jp/index.html</v>
      </c>
      <c r="F225" s="34" t="s">
        <v>1275</v>
      </c>
      <c r="G225" s="34" t="s">
        <v>1275</v>
      </c>
      <c r="H225" s="32" t="s">
        <v>1276</v>
      </c>
      <c r="I225" s="32" t="s">
        <v>1277</v>
      </c>
      <c r="J225" s="32" t="s">
        <v>1278</v>
      </c>
      <c r="K225" s="35" t="s">
        <v>37</v>
      </c>
      <c r="L225" s="35"/>
      <c r="M225" s="35"/>
      <c r="N225" s="35"/>
      <c r="O225" s="35"/>
      <c r="P225" s="35"/>
      <c r="Q225" s="35"/>
      <c r="R225" s="35"/>
      <c r="S225" s="35"/>
      <c r="T225" s="35" t="s">
        <v>37</v>
      </c>
      <c r="U225" s="35"/>
      <c r="V225" s="35"/>
      <c r="W225" s="35" t="s">
        <v>37</v>
      </c>
      <c r="X225" s="35" t="s">
        <v>37</v>
      </c>
      <c r="Y225" s="35"/>
      <c r="Z225" s="35"/>
      <c r="AA225" s="35" t="s">
        <v>37</v>
      </c>
      <c r="AB225" s="35"/>
      <c r="AC225" s="35" t="s">
        <v>37</v>
      </c>
    </row>
    <row r="226" spans="1:29" ht="243">
      <c r="A226" s="36">
        <v>767</v>
      </c>
      <c r="B226" s="37" t="str">
        <f>HYPERLINK("\\intranet-fs4\市）地域振興部\14市民自治推進室\06  市民活動\◎助成・積立・取崩（基金）\00：起案：団体登録\団体情報一覧\団体概要書（更新ごと最新に）pdf\767_prof.pdf","特定非営利活動法人　北海道心不全医療連携アカデミー")</f>
        <v>特定非営利活動法人　北海道心不全医療連携アカデミー</v>
      </c>
      <c r="C226" s="32" t="s">
        <v>1279</v>
      </c>
      <c r="D226" s="32" t="s">
        <v>79</v>
      </c>
      <c r="E226" s="33" t="str">
        <f>HYPERLINK("https://hmc-academy.jp","https://hmc-academy.jp")</f>
        <v>https://hmc-academy.jp</v>
      </c>
      <c r="F226" s="34" t="s">
        <v>1060</v>
      </c>
      <c r="G226" s="34" t="s">
        <v>1060</v>
      </c>
      <c r="H226" s="32" t="s">
        <v>1280</v>
      </c>
      <c r="I226" s="32" t="s">
        <v>1281</v>
      </c>
      <c r="J226" s="32" t="s">
        <v>1282</v>
      </c>
      <c r="K226" s="35" t="s">
        <v>37</v>
      </c>
      <c r="L226" s="35" t="s">
        <v>37</v>
      </c>
      <c r="M226" s="35"/>
      <c r="N226" s="35"/>
      <c r="O226" s="35"/>
      <c r="P226" s="35"/>
      <c r="Q226" s="35"/>
      <c r="R226" s="35"/>
      <c r="S226" s="35"/>
      <c r="T226" s="35"/>
      <c r="U226" s="35"/>
      <c r="V226" s="35"/>
      <c r="W226" s="35"/>
      <c r="X226" s="35" t="s">
        <v>37</v>
      </c>
      <c r="Y226" s="35"/>
      <c r="Z226" s="35"/>
      <c r="AA226" s="35"/>
      <c r="AB226" s="35"/>
      <c r="AC226" s="35"/>
    </row>
    <row r="227" spans="1:29" ht="108">
      <c r="A227" s="36">
        <v>768</v>
      </c>
      <c r="B227" s="37" t="str">
        <f>HYPERLINK("\\intranet-fs4\市）地域振興部\14市民自治推進室\06  市民活動\◎助成・積立・取崩（基金）\00：起案：団体登録\団体情報一覧\団体概要書（更新ごと最新に）pdf\768_prof.pdf","北海道小児膠原病の会")</f>
        <v>北海道小児膠原病の会</v>
      </c>
      <c r="C227" s="32" t="s">
        <v>1283</v>
      </c>
      <c r="D227" s="32" t="s">
        <v>1284</v>
      </c>
      <c r="E227" s="38" t="str">
        <f>HYPERLINK("https://hokkaido20211225.wixsite.com/hokkaidoshonikogen","https://hokkaido20211225.wixsite.com/hokkaidoshonikogen")</f>
        <v>https://hokkaido20211225.wixsite.com/hokkaidoshonikogen</v>
      </c>
      <c r="F227" s="34" t="s">
        <v>1201</v>
      </c>
      <c r="G227" s="34" t="s">
        <v>1100</v>
      </c>
      <c r="H227" s="32" t="s">
        <v>1285</v>
      </c>
      <c r="I227" s="32" t="s">
        <v>1286</v>
      </c>
      <c r="J227" s="32" t="s">
        <v>1287</v>
      </c>
      <c r="K227" s="35" t="s">
        <v>37</v>
      </c>
      <c r="L227" s="35"/>
      <c r="M227" s="35"/>
      <c r="N227" s="35"/>
      <c r="O227" s="35"/>
      <c r="P227" s="35"/>
      <c r="Q227" s="35"/>
      <c r="R227" s="35"/>
      <c r="S227" s="35"/>
      <c r="T227" s="35"/>
      <c r="U227" s="35"/>
      <c r="V227" s="35"/>
      <c r="W227" s="35"/>
      <c r="X227" s="35"/>
      <c r="Y227" s="35"/>
      <c r="Z227" s="35"/>
      <c r="AA227" s="35"/>
      <c r="AB227" s="35"/>
      <c r="AC227" s="35"/>
    </row>
    <row r="228" spans="1:29" ht="81">
      <c r="A228" s="36">
        <v>770</v>
      </c>
      <c r="B228" s="37" t="str">
        <f>HYPERLINK("\\intranet-fs4\市）地域振興部\14市民自治推進室\06  市民活動\◎助成・積立・取崩（基金）\00：起案：団体登録\団体情報一覧\団体概要書（更新ごと最新に）pdf\770_prof.pdf","うた倶楽部")</f>
        <v>うた倶楽部</v>
      </c>
      <c r="C228" s="32" t="s">
        <v>1288</v>
      </c>
      <c r="D228" s="32" t="s">
        <v>1289</v>
      </c>
      <c r="E228" s="41"/>
      <c r="F228" s="34" t="s">
        <v>1290</v>
      </c>
      <c r="G228" s="34" t="s">
        <v>1060</v>
      </c>
      <c r="H228" s="32" t="s">
        <v>1291</v>
      </c>
      <c r="I228" s="32" t="s">
        <v>1292</v>
      </c>
      <c r="J228" s="32" t="s">
        <v>1293</v>
      </c>
      <c r="K228" s="35" t="s">
        <v>37</v>
      </c>
      <c r="L228" s="35"/>
      <c r="M228" s="35"/>
      <c r="N228" s="35"/>
      <c r="O228" s="35"/>
      <c r="P228" s="35"/>
      <c r="Q228" s="35"/>
      <c r="R228" s="35"/>
      <c r="S228" s="35"/>
      <c r="T228" s="35"/>
      <c r="U228" s="35"/>
      <c r="V228" s="35"/>
      <c r="W228" s="35"/>
      <c r="X228" s="35"/>
      <c r="Y228" s="35"/>
      <c r="Z228" s="35"/>
      <c r="AA228" s="35"/>
      <c r="AB228" s="35"/>
      <c r="AC228" s="35"/>
    </row>
    <row r="229" spans="1:29" ht="108">
      <c r="A229" s="36">
        <v>771</v>
      </c>
      <c r="B229" s="37" t="str">
        <f>HYPERLINK("\\intranet-fs4\市）地域振興部\14市民自治推進室\06  市民活動\◎助成・積立・取崩（基金）\00：起案：団体登録\団体情報一覧\団体概要書（更新ごと最新に）pdf\771_prof.pdf","特定非営利活動法人　シーズネット")</f>
        <v>特定非営利活動法人　シーズネット</v>
      </c>
      <c r="C229" s="32" t="s">
        <v>1294</v>
      </c>
      <c r="D229" s="32" t="s">
        <v>79</v>
      </c>
      <c r="E229" s="33" t="str">
        <f>HYPERLINK("http://www.seedsnet.gr.jp","http://www.seedsnet.gr.jp")</f>
        <v>http://www.seedsnet.gr.jp</v>
      </c>
      <c r="F229" s="34" t="s">
        <v>1295</v>
      </c>
      <c r="G229" s="34" t="s">
        <v>40</v>
      </c>
      <c r="H229" s="32" t="s">
        <v>1296</v>
      </c>
      <c r="I229" s="32" t="s">
        <v>1297</v>
      </c>
      <c r="J229" s="32" t="s">
        <v>1298</v>
      </c>
      <c r="K229" s="35" t="s">
        <v>37</v>
      </c>
      <c r="L229" s="35" t="s">
        <v>37</v>
      </c>
      <c r="M229" s="35" t="s">
        <v>37</v>
      </c>
      <c r="N229" s="35"/>
      <c r="O229" s="35"/>
      <c r="P229" s="35" t="s">
        <v>37</v>
      </c>
      <c r="Q229" s="35" t="s">
        <v>37</v>
      </c>
      <c r="R229" s="35"/>
      <c r="S229" s="35"/>
      <c r="T229" s="35" t="s">
        <v>37</v>
      </c>
      <c r="U229" s="35" t="s">
        <v>37</v>
      </c>
      <c r="V229" s="35"/>
      <c r="W229" s="35" t="s">
        <v>37</v>
      </c>
      <c r="X229" s="35"/>
      <c r="Y229" s="35"/>
      <c r="Z229" s="35"/>
      <c r="AA229" s="35"/>
      <c r="AB229" s="35"/>
      <c r="AC229" s="35" t="s">
        <v>37</v>
      </c>
    </row>
    <row r="230" spans="1:29" ht="121.5">
      <c r="A230" s="36">
        <v>772</v>
      </c>
      <c r="B230" s="37" t="str">
        <f>HYPERLINK("\\intranet-fs4\市）地域振興部\14市民自治推進室\06  市民活動\◎助成・積立・取崩（基金）\00：起案：団体登録\団体情報一覧\団体概要書（更新ごと最新に）pdf\772_prof.pdf","厚別少年野球協議会")</f>
        <v>厚別少年野球協議会</v>
      </c>
      <c r="C230" s="32" t="s">
        <v>1299</v>
      </c>
      <c r="D230" s="32" t="s">
        <v>1300</v>
      </c>
      <c r="E230" s="33" t="str">
        <f>HYPERLINK("https://www.netto.jp/cs/form_mail.phpgoogle_vignette","https://www.netto.jp/cs/form_mail.phpgoogle_vignette")</f>
        <v>https://www.netto.jp/cs/form_mail.phpgoogle_vignette</v>
      </c>
      <c r="F230" s="34" t="s">
        <v>1010</v>
      </c>
      <c r="G230" s="34" t="s">
        <v>1010</v>
      </c>
      <c r="H230" s="32" t="s">
        <v>1301</v>
      </c>
      <c r="I230" s="32" t="s">
        <v>1302</v>
      </c>
      <c r="J230" s="32" t="s">
        <v>1303</v>
      </c>
      <c r="K230" s="35"/>
      <c r="L230" s="35"/>
      <c r="M230" s="35" t="s">
        <v>37</v>
      </c>
      <c r="N230" s="35"/>
      <c r="O230" s="35"/>
      <c r="P230" s="35" t="s">
        <v>37</v>
      </c>
      <c r="Q230" s="35"/>
      <c r="R230" s="35"/>
      <c r="S230" s="35"/>
      <c r="T230" s="35"/>
      <c r="U230" s="35"/>
      <c r="V230" s="35"/>
      <c r="W230" s="35" t="s">
        <v>37</v>
      </c>
      <c r="X230" s="35"/>
      <c r="Y230" s="35" t="s">
        <v>37</v>
      </c>
      <c r="Z230" s="35"/>
      <c r="AA230" s="35"/>
      <c r="AB230" s="35"/>
      <c r="AC230" s="35"/>
    </row>
    <row r="231" spans="1:29" ht="216">
      <c r="A231" s="36">
        <v>773</v>
      </c>
      <c r="B231" s="37" t="str">
        <f>HYPERLINK("\\intranet-fs4\市）地域振興部\14市民自治推進室\06  市民活動\◎助成・積立・取崩（基金）\00：起案：団体登録\団体情報一覧\団体概要書（更新ごと最新に）pdf\773_prof.pdf","札幌ハムプロジェクト")</f>
        <v>札幌ハムプロジェクト</v>
      </c>
      <c r="C231" s="32" t="s">
        <v>1304</v>
      </c>
      <c r="D231" s="32" t="s">
        <v>1305</v>
      </c>
      <c r="E231" s="33" t="str">
        <f>HYPERLINK("https://hampro.jp/","https://hampro.jp/")</f>
        <v>https://hampro.jp/</v>
      </c>
      <c r="F231" s="34" t="s">
        <v>1306</v>
      </c>
      <c r="G231" s="34" t="s">
        <v>1306</v>
      </c>
      <c r="H231" s="32" t="s">
        <v>1307</v>
      </c>
      <c r="I231" s="32" t="s">
        <v>1308</v>
      </c>
      <c r="J231" s="32" t="s">
        <v>1309</v>
      </c>
      <c r="K231" s="35"/>
      <c r="L231" s="35"/>
      <c r="M231" s="35"/>
      <c r="N231" s="35"/>
      <c r="O231" s="35"/>
      <c r="P231" s="35" t="s">
        <v>37</v>
      </c>
      <c r="Q231" s="35"/>
      <c r="R231" s="35"/>
      <c r="S231" s="35"/>
      <c r="T231" s="35"/>
      <c r="U231" s="35"/>
      <c r="V231" s="35"/>
      <c r="W231" s="35"/>
      <c r="X231" s="35"/>
      <c r="Y231" s="35"/>
      <c r="Z231" s="35"/>
      <c r="AA231" s="35"/>
      <c r="AB231" s="35"/>
      <c r="AC231" s="35"/>
    </row>
    <row r="232" spans="1:29" ht="189">
      <c r="A232" s="36">
        <v>774</v>
      </c>
      <c r="B232" s="37" t="str">
        <f>HYPERLINK("\\intranet-fs4\市）地域振興部\14市民自治推進室\06  市民活動\◎助成・積立・取崩（基金）\00：起案：団体登録\団体情報一覧\団体概要書（更新ごと最新に）pdf\774_prof.pdf","Yukikaze Technology")</f>
        <v>Yukikaze Technology</v>
      </c>
      <c r="C232" s="32" t="s">
        <v>1310</v>
      </c>
      <c r="D232" s="32" t="s">
        <v>79</v>
      </c>
      <c r="E232" s="33" t="str">
        <f>HYPERLINK("https://www.yukikaze.tech/","https://www.yukikaze.tech/")</f>
        <v>https://www.yukikaze.tech/</v>
      </c>
      <c r="F232" s="34" t="s">
        <v>1311</v>
      </c>
      <c r="G232" s="34" t="s">
        <v>1071</v>
      </c>
      <c r="H232" s="32" t="s">
        <v>1312</v>
      </c>
      <c r="I232" s="32" t="s">
        <v>1313</v>
      </c>
      <c r="J232" s="32" t="s">
        <v>1314</v>
      </c>
      <c r="K232" s="35"/>
      <c r="L232" s="35" t="s">
        <v>37</v>
      </c>
      <c r="M232" s="35"/>
      <c r="N232" s="35"/>
      <c r="O232" s="35"/>
      <c r="P232" s="35" t="s">
        <v>37</v>
      </c>
      <c r="Q232" s="35"/>
      <c r="R232" s="35"/>
      <c r="S232" s="35"/>
      <c r="T232" s="35"/>
      <c r="U232" s="35"/>
      <c r="V232" s="35"/>
      <c r="W232" s="35" t="s">
        <v>37</v>
      </c>
      <c r="X232" s="35" t="s">
        <v>37</v>
      </c>
      <c r="Y232" s="35" t="s">
        <v>37</v>
      </c>
      <c r="Z232" s="35"/>
      <c r="AA232" s="35"/>
      <c r="AB232" s="35"/>
      <c r="AC232" s="35"/>
    </row>
    <row r="233" spans="1:29" ht="27">
      <c r="A233" s="36">
        <v>775</v>
      </c>
      <c r="B233" s="37" t="str">
        <f>HYPERLINK("\\intranet-fs4\市）地域振興部\14市民自治推進室\06  市民活動\◎助成・積立・取崩（基金）\00：起案：団体登録\団体情報一覧\団体概要書（更新ごと最新に）pdf\775_prof.pdf","札幌市待機児童ゼロの会")</f>
        <v>札幌市待機児童ゼロの会</v>
      </c>
      <c r="C233" s="32" t="s">
        <v>1315</v>
      </c>
      <c r="D233" s="32" t="s">
        <v>257</v>
      </c>
      <c r="E233" s="33" t="str">
        <f>HYPERLINK("http://www.taiki-zero.com","http://www.taiki-zero.com")</f>
        <v>http://www.taiki-zero.com</v>
      </c>
      <c r="F233" s="34" t="s">
        <v>1316</v>
      </c>
      <c r="G233" s="34" t="s">
        <v>1316</v>
      </c>
      <c r="H233" s="32" t="s">
        <v>1317</v>
      </c>
      <c r="I233" s="32" t="s">
        <v>1318</v>
      </c>
      <c r="J233" s="32" t="s">
        <v>1319</v>
      </c>
      <c r="K233" s="35"/>
      <c r="L233" s="35"/>
      <c r="M233" s="35"/>
      <c r="N233" s="35"/>
      <c r="O233" s="35"/>
      <c r="P233" s="35"/>
      <c r="Q233" s="35"/>
      <c r="R233" s="35"/>
      <c r="S233" s="35"/>
      <c r="T233" s="35"/>
      <c r="U233" s="35"/>
      <c r="V233" s="35"/>
      <c r="W233" s="35" t="s">
        <v>37</v>
      </c>
      <c r="X233" s="35"/>
      <c r="Y233" s="35"/>
      <c r="Z233" s="35"/>
      <c r="AA233" s="35"/>
      <c r="AB233" s="35"/>
      <c r="AC233" s="35"/>
    </row>
    <row r="234" spans="1:29" ht="121.5">
      <c r="A234" s="36">
        <v>776</v>
      </c>
      <c r="B234" s="37" t="str">
        <f>HYPERLINK("\\intranet-fs4\市）地域振興部\14市民自治推進室\06  市民活動\◎助成・積立・取崩（基金）\00：起案：団体登録\団体情報一覧\団体概要書（更新ごと最新に）pdf\776_prof.pdf","特定非営利活動法人　近自然森づくり協会北海道支部")</f>
        <v>特定非営利活動法人　近自然森づくり協会北海道支部</v>
      </c>
      <c r="C234" s="32" t="s">
        <v>1320</v>
      </c>
      <c r="D234" s="32" t="s">
        <v>257</v>
      </c>
      <c r="E234" s="38" t="str">
        <f>HYPERLINK("https://www.facebook.com/ezohiguma","https://www.facebook.com/ezohiguma")</f>
        <v>https://www.facebook.com/ezohiguma</v>
      </c>
      <c r="F234" s="34" t="s">
        <v>1321</v>
      </c>
      <c r="G234" s="34" t="s">
        <v>1321</v>
      </c>
      <c r="H234" s="32" t="s">
        <v>1322</v>
      </c>
      <c r="I234" s="32" t="s">
        <v>1323</v>
      </c>
      <c r="J234" s="32" t="s">
        <v>1324</v>
      </c>
      <c r="K234" s="35"/>
      <c r="L234" s="35"/>
      <c r="M234" s="35"/>
      <c r="N234" s="35"/>
      <c r="O234" s="35" t="s">
        <v>37</v>
      </c>
      <c r="P234" s="35"/>
      <c r="Q234" s="35" t="s">
        <v>37</v>
      </c>
      <c r="R234" s="35"/>
      <c r="S234" s="35"/>
      <c r="T234" s="35"/>
      <c r="U234" s="35" t="s">
        <v>37</v>
      </c>
      <c r="V234" s="35"/>
      <c r="W234" s="35"/>
      <c r="X234" s="35"/>
      <c r="Y234" s="35"/>
      <c r="Z234" s="35" t="s">
        <v>37</v>
      </c>
      <c r="AA234" s="35" t="s">
        <v>37</v>
      </c>
      <c r="AB234" s="35"/>
      <c r="AC234" s="35" t="s">
        <v>37</v>
      </c>
    </row>
    <row r="235" spans="1:29" ht="175.5">
      <c r="A235" s="36">
        <v>777</v>
      </c>
      <c r="B235" s="37" t="str">
        <f>HYPERLINK("\\intranet-fs4\市）地域振興部\14市民自治推進室\06  市民活動\◎助成・積立・取崩（基金）\00：起案：団体登録\団体情報一覧\団体概要書（更新ごと最新に）pdf\777_prof.pdf","特定非営利活動法人アート・ウイズ・ライト臨床美術")</f>
        <v>特定非営利活動法人アート・ウイズ・ライト臨床美術</v>
      </c>
      <c r="C235" s="32" t="s">
        <v>1325</v>
      </c>
      <c r="D235" s="32" t="s">
        <v>1326</v>
      </c>
      <c r="E235" s="38" t="str">
        <f>HYPERLINK("http://www.tunagaruart.jp/","http://www.tunagaruart.jp/")</f>
        <v>http://www.tunagaruart.jp/</v>
      </c>
      <c r="F235" s="34" t="s">
        <v>1142</v>
      </c>
      <c r="G235" s="34" t="s">
        <v>1153</v>
      </c>
      <c r="H235" s="32" t="s">
        <v>1327</v>
      </c>
      <c r="I235" s="32" t="s">
        <v>1328</v>
      </c>
      <c r="J235" s="32" t="s">
        <v>1329</v>
      </c>
      <c r="K235" s="35" t="s">
        <v>37</v>
      </c>
      <c r="L235" s="35" t="s">
        <v>37</v>
      </c>
      <c r="M235" s="35"/>
      <c r="N235" s="35"/>
      <c r="O235" s="35"/>
      <c r="P235" s="35" t="s">
        <v>37</v>
      </c>
      <c r="Q235" s="35"/>
      <c r="R235" s="35"/>
      <c r="S235" s="35"/>
      <c r="T235" s="35"/>
      <c r="U235" s="35"/>
      <c r="V235" s="35"/>
      <c r="W235" s="35" t="s">
        <v>37</v>
      </c>
      <c r="X235" s="35"/>
      <c r="Y235" s="35"/>
      <c r="Z235" s="35"/>
      <c r="AA235" s="35"/>
      <c r="AB235" s="35"/>
      <c r="AC235" s="35"/>
    </row>
    <row r="236" spans="1:29" ht="81">
      <c r="A236" s="36">
        <v>778</v>
      </c>
      <c r="B236" s="37" t="str">
        <f>HYPERLINK("\\intranet-fs4\市）地域振興部\14市民自治推進室\06  市民活動\◎助成・積立・取崩（基金）\00：起案：団体登録\団体情報一覧\団体概要書（更新ごと最新に）pdf\778_prof.pdf","特定非営利活動法人ヒーリング北海道")</f>
        <v>特定非営利活動法人ヒーリング北海道</v>
      </c>
      <c r="C236" s="32" t="s">
        <v>1330</v>
      </c>
      <c r="D236" s="32" t="s">
        <v>811</v>
      </c>
      <c r="E236" s="33" t="str">
        <f>HYPERLINK("https://sites.google.com/site/healinghokkaido/home","https://sites.google.com/site/healinghokkaido/home")</f>
        <v>https://sites.google.com/site/healinghokkaido/home</v>
      </c>
      <c r="F236" s="34" t="s">
        <v>1244</v>
      </c>
      <c r="G236" s="34" t="s">
        <v>377</v>
      </c>
      <c r="H236" s="32" t="s">
        <v>1331</v>
      </c>
      <c r="I236" s="32" t="s">
        <v>1332</v>
      </c>
      <c r="J236" s="32" t="s">
        <v>1333</v>
      </c>
      <c r="K236" s="35" t="s">
        <v>37</v>
      </c>
      <c r="L236" s="35"/>
      <c r="M236" s="35" t="s">
        <v>37</v>
      </c>
      <c r="N236" s="35"/>
      <c r="O236" s="35"/>
      <c r="P236" s="35" t="s">
        <v>37</v>
      </c>
      <c r="Q236" s="35"/>
      <c r="R236" s="35"/>
      <c r="S236" s="35"/>
      <c r="T236" s="35"/>
      <c r="U236" s="35"/>
      <c r="V236" s="35"/>
      <c r="W236" s="35" t="s">
        <v>37</v>
      </c>
      <c r="X236" s="35"/>
      <c r="Y236" s="35"/>
      <c r="Z236" s="35"/>
      <c r="AA236" s="35"/>
      <c r="AB236" s="35"/>
      <c r="AC236" s="35"/>
    </row>
    <row r="237" spans="1:29" ht="175.5">
      <c r="A237" s="36">
        <v>779</v>
      </c>
      <c r="B237" s="37" t="str">
        <f>HYPERLINK("\\intranet-fs4\市）地域振興部\14市民自治推進室\06  市民活動\◎助成・積立・取崩（基金）\00：起案：団体登録\団体情報一覧\団体概要書（更新ごと最新に）pdf\779_prof.pdf","札幌観光ガイドの会")</f>
        <v>札幌観光ガイドの会</v>
      </c>
      <c r="C237" s="32" t="s">
        <v>1334</v>
      </c>
      <c r="D237" s="32" t="s">
        <v>79</v>
      </c>
      <c r="E237" s="33" t="str">
        <f>HYPERLINK("https://www.sight-de.com","https://www.sight-de.com")</f>
        <v>https://www.sight-de.com</v>
      </c>
      <c r="F237" s="34" t="s">
        <v>229</v>
      </c>
      <c r="G237" s="34" t="s">
        <v>229</v>
      </c>
      <c r="H237" s="32" t="s">
        <v>1335</v>
      </c>
      <c r="I237" s="32" t="s">
        <v>1336</v>
      </c>
      <c r="J237" s="32" t="s">
        <v>1337</v>
      </c>
      <c r="K237" s="35"/>
      <c r="L237" s="35"/>
      <c r="M237" s="35"/>
      <c r="N237" s="35" t="s">
        <v>37</v>
      </c>
      <c r="O237" s="35"/>
      <c r="P237" s="35"/>
      <c r="Q237" s="35"/>
      <c r="R237" s="35"/>
      <c r="S237" s="35"/>
      <c r="T237" s="35"/>
      <c r="U237" s="35"/>
      <c r="V237" s="35"/>
      <c r="W237" s="35"/>
      <c r="X237" s="35"/>
      <c r="Y237" s="35"/>
      <c r="Z237" s="35"/>
      <c r="AA237" s="35"/>
      <c r="AB237" s="35"/>
      <c r="AC237" s="35"/>
    </row>
    <row r="238" spans="1:29" ht="67.5">
      <c r="A238" s="36">
        <v>780</v>
      </c>
      <c r="B238" s="37" t="str">
        <f>HYPERLINK("\\intranet-fs4\市）地域振興部\14市民自治推進室\06  市民活動\◎助成・積立・取崩（基金）\00：起案：団体登録\団体情報一覧\団体概要書（更新ごと最新に）pdf\780_prof.pdf","菊の里連合町内会")</f>
        <v>菊の里連合町内会</v>
      </c>
      <c r="C238" s="32" t="s">
        <v>1338</v>
      </c>
      <c r="D238" s="32" t="s">
        <v>1339</v>
      </c>
      <c r="E238" s="48"/>
      <c r="F238" s="34" t="s">
        <v>1340</v>
      </c>
      <c r="G238" s="34" t="s">
        <v>1340</v>
      </c>
      <c r="H238" s="32" t="s">
        <v>1341</v>
      </c>
      <c r="I238" s="32" t="s">
        <v>1342</v>
      </c>
      <c r="J238" s="32" t="s">
        <v>1343</v>
      </c>
      <c r="K238" s="35" t="s">
        <v>37</v>
      </c>
      <c r="L238" s="35"/>
      <c r="M238" s="35" t="s">
        <v>37</v>
      </c>
      <c r="N238" s="35"/>
      <c r="O238" s="35"/>
      <c r="P238" s="35"/>
      <c r="Q238" s="35" t="s">
        <v>37</v>
      </c>
      <c r="R238" s="35"/>
      <c r="S238" s="35" t="s">
        <v>37</v>
      </c>
      <c r="T238" s="35"/>
      <c r="U238" s="35"/>
      <c r="V238" s="35"/>
      <c r="W238" s="35"/>
      <c r="X238" s="35"/>
      <c r="Y238" s="35"/>
      <c r="Z238" s="35"/>
      <c r="AA238" s="35"/>
      <c r="AB238" s="35"/>
      <c r="AC238" s="35" t="s">
        <v>37</v>
      </c>
    </row>
    <row r="239" spans="1:29" ht="81">
      <c r="A239" s="36">
        <v>781</v>
      </c>
      <c r="B239" s="37" t="str">
        <f>HYPERLINK("\\intranet-fs4\市）地域振興部\14市民自治推進室\06  市民活動\◎助成・積立・取崩（基金）\00：起案：団体登録\団体情報一覧\団体概要書（更新ごと最新に）pdf\781_prof.pdf","シニアーパソコン塾")</f>
        <v>シニアーパソコン塾</v>
      </c>
      <c r="C239" s="32" t="s">
        <v>1344</v>
      </c>
      <c r="D239" s="32" t="s">
        <v>700</v>
      </c>
      <c r="E239" s="33" t="str">
        <f>HYPERLINK("http://zxc.moo.jp/jyuku/index.html","http://zxc.moo.jp/jyuku/index.html")</f>
        <v>http://zxc.moo.jp/jyuku/index.html</v>
      </c>
      <c r="F239" s="34" t="s">
        <v>160</v>
      </c>
      <c r="G239" s="34" t="s">
        <v>568</v>
      </c>
      <c r="H239" s="32" t="s">
        <v>1345</v>
      </c>
      <c r="I239" s="32" t="s">
        <v>1346</v>
      </c>
      <c r="J239" s="32" t="s">
        <v>1347</v>
      </c>
      <c r="K239" s="35"/>
      <c r="L239" s="35" t="s">
        <v>37</v>
      </c>
      <c r="M239" s="35"/>
      <c r="N239" s="35"/>
      <c r="O239" s="35"/>
      <c r="P239" s="35"/>
      <c r="Q239" s="35"/>
      <c r="R239" s="35"/>
      <c r="S239" s="35"/>
      <c r="T239" s="35"/>
      <c r="U239" s="35"/>
      <c r="V239" s="35"/>
      <c r="W239" s="35"/>
      <c r="X239" s="35"/>
      <c r="Y239" s="35"/>
      <c r="Z239" s="35"/>
      <c r="AA239" s="35"/>
      <c r="AB239" s="35"/>
      <c r="AC239" s="35"/>
    </row>
    <row r="240" spans="1:29" ht="108">
      <c r="A240" s="36">
        <v>782</v>
      </c>
      <c r="B240" s="37" t="str">
        <f>HYPERLINK("\\intranet-fs4\市）地域振興部\14市民自治推進室\06  市民活動\◎助成・積立・取崩（基金）\00：起案：団体登録\団体情報一覧\団体概要書（更新ごと最新に）pdf\782_prof.pdf","菊水西連合町内会")</f>
        <v>菊水西連合町内会</v>
      </c>
      <c r="C240" s="32" t="s">
        <v>1348</v>
      </c>
      <c r="D240" s="32" t="s">
        <v>1349</v>
      </c>
      <c r="E240" s="41"/>
      <c r="F240" s="34" t="s">
        <v>1350</v>
      </c>
      <c r="G240" s="34" t="s">
        <v>1350</v>
      </c>
      <c r="H240" s="32" t="s">
        <v>1351</v>
      </c>
      <c r="I240" s="32" t="s">
        <v>1352</v>
      </c>
      <c r="J240" s="32" t="s">
        <v>1353</v>
      </c>
      <c r="K240" s="35"/>
      <c r="L240" s="35"/>
      <c r="M240" s="35" t="s">
        <v>37</v>
      </c>
      <c r="N240" s="35"/>
      <c r="O240" s="35"/>
      <c r="P240" s="35" t="s">
        <v>37</v>
      </c>
      <c r="Q240" s="35" t="s">
        <v>37</v>
      </c>
      <c r="R240" s="35" t="s">
        <v>37</v>
      </c>
      <c r="S240" s="35" t="s">
        <v>37</v>
      </c>
      <c r="T240" s="35" t="s">
        <v>37</v>
      </c>
      <c r="U240" s="35"/>
      <c r="V240" s="35" t="s">
        <v>37</v>
      </c>
      <c r="W240" s="35" t="s">
        <v>37</v>
      </c>
      <c r="X240" s="35"/>
      <c r="Y240" s="35"/>
      <c r="Z240" s="35"/>
      <c r="AA240" s="35"/>
      <c r="AB240" s="35"/>
      <c r="AC240" s="35" t="s">
        <v>37</v>
      </c>
    </row>
    <row r="241" spans="1:29" ht="81">
      <c r="A241" s="36">
        <v>783</v>
      </c>
      <c r="B241" s="37" t="str">
        <f>HYPERLINK("\\intranet-fs4\市）地域振興部\14市民自治推進室\06  市民活動\◎助成・積立・取崩（基金）\00：起案：団体登録\団体情報一覧\団体概要書（更新ごと最新に）pdf\783_prof.pdf","菊水南連合町内会")</f>
        <v>菊水南連合町内会</v>
      </c>
      <c r="C241" s="32" t="s">
        <v>1354</v>
      </c>
      <c r="D241" s="32" t="s">
        <v>1355</v>
      </c>
      <c r="E241" s="41"/>
      <c r="F241" s="34" t="s">
        <v>1356</v>
      </c>
      <c r="G241" s="34" t="s">
        <v>1356</v>
      </c>
      <c r="H241" s="32" t="s">
        <v>1357</v>
      </c>
      <c r="I241" s="32" t="s">
        <v>1358</v>
      </c>
      <c r="J241" s="32" t="s">
        <v>1359</v>
      </c>
      <c r="K241" s="35"/>
      <c r="L241" s="35"/>
      <c r="M241" s="35" t="s">
        <v>37</v>
      </c>
      <c r="N241" s="35"/>
      <c r="O241" s="35"/>
      <c r="P241" s="35"/>
      <c r="Q241" s="35"/>
      <c r="R241" s="35"/>
      <c r="S241" s="35" t="s">
        <v>37</v>
      </c>
      <c r="T241" s="35"/>
      <c r="U241" s="35"/>
      <c r="V241" s="35"/>
      <c r="W241" s="35" t="s">
        <v>37</v>
      </c>
      <c r="X241" s="35"/>
      <c r="Y241" s="35"/>
      <c r="Z241" s="35"/>
      <c r="AA241" s="35"/>
      <c r="AB241" s="35"/>
      <c r="AC241" s="35"/>
    </row>
    <row r="242" spans="1:29" ht="81">
      <c r="A242" s="36">
        <v>784</v>
      </c>
      <c r="B242" s="37" t="str">
        <f>HYPERLINK("\\intranet-fs4\市）地域振興部\14市民自治推進室\06  市民活動\◎助成・積立・取崩（基金）\00：起案：団体登録\団体情報一覧\団体概要書（更新ごと最新に）pdf\784_prof.pdf","菊水上町連合町内会")</f>
        <v>菊水上町連合町内会</v>
      </c>
      <c r="C242" s="32" t="s">
        <v>1360</v>
      </c>
      <c r="D242" s="32" t="s">
        <v>1361</v>
      </c>
      <c r="E242" s="41"/>
      <c r="F242" s="34" t="s">
        <v>1362</v>
      </c>
      <c r="G242" s="34" t="s">
        <v>1362</v>
      </c>
      <c r="H242" s="32" t="s">
        <v>1363</v>
      </c>
      <c r="I242" s="32" t="s">
        <v>1364</v>
      </c>
      <c r="J242" s="32" t="s">
        <v>1365</v>
      </c>
      <c r="K242" s="35" t="s">
        <v>37</v>
      </c>
      <c r="L242" s="35" t="s">
        <v>37</v>
      </c>
      <c r="M242" s="35" t="s">
        <v>37</v>
      </c>
      <c r="N242" s="35"/>
      <c r="O242" s="35"/>
      <c r="P242" s="35" t="s">
        <v>37</v>
      </c>
      <c r="Q242" s="35" t="s">
        <v>37</v>
      </c>
      <c r="R242" s="35" t="s">
        <v>37</v>
      </c>
      <c r="S242" s="35" t="s">
        <v>37</v>
      </c>
      <c r="T242" s="35" t="s">
        <v>37</v>
      </c>
      <c r="U242" s="35"/>
      <c r="V242" s="35" t="s">
        <v>37</v>
      </c>
      <c r="W242" s="35" t="s">
        <v>37</v>
      </c>
      <c r="X242" s="35" t="s">
        <v>37</v>
      </c>
      <c r="Y242" s="35"/>
      <c r="Z242" s="35"/>
      <c r="AA242" s="35"/>
      <c r="AB242" s="35" t="s">
        <v>37</v>
      </c>
      <c r="AC242" s="35" t="s">
        <v>37</v>
      </c>
    </row>
    <row r="243" spans="1:29" ht="283.5">
      <c r="A243" s="36">
        <v>785</v>
      </c>
      <c r="B243" s="37" t="str">
        <f>HYPERLINK("\\intranet-fs4\市）地域振興部\14市民自治推進室\06  市民活動\◎助成・積立・取崩（基金）\00：起案：団体登録\団体情報一覧\団体概要書（更新ごと最新に）pdf\785_prof.pdf","どさんこスタディ")</f>
        <v>どさんこスタディ</v>
      </c>
      <c r="C243" s="32" t="s">
        <v>1366</v>
      </c>
      <c r="D243" s="32" t="s">
        <v>1367</v>
      </c>
      <c r="E243" s="38" t="str">
        <f>HYPERLINK("http://www.facebook.com/dosankostudy","http://www.facebook.com/dosankostudy")</f>
        <v>http://www.facebook.com/dosankostudy</v>
      </c>
      <c r="F243" s="34" t="s">
        <v>812</v>
      </c>
      <c r="G243" s="34" t="s">
        <v>812</v>
      </c>
      <c r="H243" s="32" t="s">
        <v>1368</v>
      </c>
      <c r="I243" s="32" t="s">
        <v>1369</v>
      </c>
      <c r="J243" s="32" t="s">
        <v>1370</v>
      </c>
      <c r="K243" s="35" t="s">
        <v>37</v>
      </c>
      <c r="L243" s="35"/>
      <c r="M243" s="35"/>
      <c r="N243" s="35"/>
      <c r="O243" s="35"/>
      <c r="P243" s="35"/>
      <c r="Q243" s="35"/>
      <c r="R243" s="35"/>
      <c r="S243" s="35"/>
      <c r="T243" s="35"/>
      <c r="U243" s="35"/>
      <c r="V243" s="35"/>
      <c r="W243" s="35"/>
      <c r="X243" s="35"/>
      <c r="Y243" s="35"/>
      <c r="Z243" s="35"/>
      <c r="AA243" s="35"/>
      <c r="AB243" s="35"/>
      <c r="AC243" s="35"/>
    </row>
    <row r="244" spans="1:29" ht="148.5">
      <c r="A244" s="36">
        <v>786</v>
      </c>
      <c r="B244" s="37" t="str">
        <f>HYPERLINK("\\intranet-fs4\市）地域振興部\14市民自治推進室\06  市民活動\◎助成・積立・取崩（基金）\00：起案：団体登録\団体情報一覧\団体概要書（更新ごと最新に）pdf\786_prof.pdf","青葉町自治連合会")</f>
        <v>青葉町自治連合会</v>
      </c>
      <c r="C244" s="32" t="s">
        <v>1371</v>
      </c>
      <c r="D244" s="32" t="s">
        <v>1372</v>
      </c>
      <c r="E244" s="48"/>
      <c r="F244" s="34" t="s">
        <v>1373</v>
      </c>
      <c r="G244" s="34" t="s">
        <v>1373</v>
      </c>
      <c r="H244" s="32" t="s">
        <v>1374</v>
      </c>
      <c r="I244" s="32" t="s">
        <v>1375</v>
      </c>
      <c r="J244" s="32" t="s">
        <v>1376</v>
      </c>
      <c r="K244" s="35" t="s">
        <v>37</v>
      </c>
      <c r="L244" s="35"/>
      <c r="M244" s="35" t="s">
        <v>37</v>
      </c>
      <c r="N244" s="35"/>
      <c r="O244" s="35"/>
      <c r="P244" s="35" t="s">
        <v>37</v>
      </c>
      <c r="Q244" s="35" t="s">
        <v>37</v>
      </c>
      <c r="R244" s="35"/>
      <c r="S244" s="35" t="s">
        <v>37</v>
      </c>
      <c r="T244" s="35"/>
      <c r="U244" s="35"/>
      <c r="V244" s="35"/>
      <c r="W244" s="35" t="s">
        <v>37</v>
      </c>
      <c r="X244" s="35"/>
      <c r="Y244" s="35"/>
      <c r="Z244" s="35"/>
      <c r="AA244" s="35"/>
      <c r="AB244" s="35"/>
      <c r="AC244" s="35"/>
    </row>
    <row r="245" spans="1:29" ht="81">
      <c r="A245" s="36">
        <v>787</v>
      </c>
      <c r="B245" s="37" t="str">
        <f>HYPERLINK("\\intranet-fs4\市）地域振興部\14市民自治推進室\06  市民活動\◎助成・積立・取崩（基金）\00：起案：団体登録\団体情報一覧\団体概要書（更新ごと最新に）pdf\787_prof.pdf","草笛墨生会")</f>
        <v>草笛墨生会</v>
      </c>
      <c r="C245" s="32" t="s">
        <v>1377</v>
      </c>
      <c r="D245" s="32" t="s">
        <v>115</v>
      </c>
      <c r="E245" s="41"/>
      <c r="F245" s="34" t="s">
        <v>575</v>
      </c>
      <c r="G245" s="34" t="s">
        <v>575</v>
      </c>
      <c r="H245" s="32" t="s">
        <v>1378</v>
      </c>
      <c r="I245" s="32" t="s">
        <v>1379</v>
      </c>
      <c r="J245" s="32" t="s">
        <v>1380</v>
      </c>
      <c r="K245" s="35"/>
      <c r="L245" s="35"/>
      <c r="M245" s="35"/>
      <c r="N245" s="35"/>
      <c r="O245" s="35"/>
      <c r="P245" s="35" t="s">
        <v>37</v>
      </c>
      <c r="Q245" s="35"/>
      <c r="R245" s="35"/>
      <c r="S245" s="35"/>
      <c r="T245" s="35"/>
      <c r="U245" s="35"/>
      <c r="V245" s="35"/>
      <c r="W245" s="35"/>
      <c r="X245" s="35"/>
      <c r="Y245" s="35"/>
      <c r="Z245" s="35"/>
      <c r="AA245" s="35"/>
      <c r="AB245" s="35"/>
      <c r="AC245" s="35"/>
    </row>
    <row r="246" spans="1:29" ht="148.5">
      <c r="A246" s="36">
        <v>788</v>
      </c>
      <c r="B246" s="37" t="str">
        <f>HYPERLINK("\\intranet-fs4\市）地域振興部\14市民自治推進室\06  市民活動\◎助成・積立・取崩（基金）\00：起案：団体登録\団体情報一覧\団体概要書（更新ごと最新に）pdf\788_prof.pdf","北白石連合町内会")</f>
        <v>北白石連合町内会</v>
      </c>
      <c r="C246" s="32" t="s">
        <v>1381</v>
      </c>
      <c r="D246" s="32" t="s">
        <v>1382</v>
      </c>
      <c r="E246" s="41"/>
      <c r="F246" s="34" t="s">
        <v>1383</v>
      </c>
      <c r="G246" s="34" t="s">
        <v>1383</v>
      </c>
      <c r="H246" s="32" t="s">
        <v>1384</v>
      </c>
      <c r="I246" s="32" t="s">
        <v>1385</v>
      </c>
      <c r="J246" s="32" t="s">
        <v>1386</v>
      </c>
      <c r="K246" s="35" t="s">
        <v>37</v>
      </c>
      <c r="L246" s="35"/>
      <c r="M246" s="35" t="s">
        <v>37</v>
      </c>
      <c r="N246" s="35"/>
      <c r="O246" s="35"/>
      <c r="P246" s="35"/>
      <c r="Q246" s="35" t="s">
        <v>37</v>
      </c>
      <c r="R246" s="35" t="s">
        <v>37</v>
      </c>
      <c r="S246" s="35" t="s">
        <v>37</v>
      </c>
      <c r="T246" s="35"/>
      <c r="U246" s="35"/>
      <c r="V246" s="35"/>
      <c r="W246" s="35" t="s">
        <v>37</v>
      </c>
      <c r="X246" s="35"/>
      <c r="Y246" s="35"/>
      <c r="Z246" s="35"/>
      <c r="AA246" s="35"/>
      <c r="AB246" s="35"/>
      <c r="AC246" s="35" t="s">
        <v>37</v>
      </c>
    </row>
    <row r="247" spans="1:29" ht="108">
      <c r="A247" s="36">
        <v>789</v>
      </c>
      <c r="B247" s="37" t="str">
        <f>HYPERLINK("\\intranet-fs4\市）地域振興部\14市民自治推進室\06  市民活動\◎助成・積立・取崩（基金）\00：起案：団体登録\団体情報一覧\団体概要書（更新ごと最新に）pdf\789_prof.pdf","厚別東町内会連合会")</f>
        <v>厚別東町内会連合会</v>
      </c>
      <c r="C247" s="32" t="s">
        <v>1387</v>
      </c>
      <c r="D247" s="32" t="s">
        <v>1388</v>
      </c>
      <c r="E247" s="48"/>
      <c r="F247" s="34" t="s">
        <v>1389</v>
      </c>
      <c r="G247" s="34" t="s">
        <v>465</v>
      </c>
      <c r="H247" s="32" t="s">
        <v>1390</v>
      </c>
      <c r="I247" s="32" t="s">
        <v>1391</v>
      </c>
      <c r="J247" s="32" t="s">
        <v>1392</v>
      </c>
      <c r="K247" s="35" t="s">
        <v>37</v>
      </c>
      <c r="L247" s="35"/>
      <c r="M247" s="35" t="s">
        <v>37</v>
      </c>
      <c r="N247" s="35"/>
      <c r="O247" s="35"/>
      <c r="P247" s="35" t="s">
        <v>37</v>
      </c>
      <c r="Q247" s="35" t="s">
        <v>37</v>
      </c>
      <c r="R247" s="35"/>
      <c r="S247" s="35" t="s">
        <v>37</v>
      </c>
      <c r="T247" s="35"/>
      <c r="U247" s="35"/>
      <c r="V247" s="35"/>
      <c r="W247" s="35" t="s">
        <v>37</v>
      </c>
      <c r="X247" s="35"/>
      <c r="Y247" s="35"/>
      <c r="Z247" s="35"/>
      <c r="AA247" s="35"/>
      <c r="AB247" s="35"/>
      <c r="AC247" s="35"/>
    </row>
    <row r="248" spans="1:29" ht="94.5">
      <c r="A248" s="36">
        <v>790</v>
      </c>
      <c r="B248" s="37" t="str">
        <f>HYPERLINK("\\intranet-fs4\市）地域振興部\14市民自治推進室\06  市民活動\◎助成・積立・取崩（基金）\00：起案：団体登録\団体情報一覧\団体概要書（更新ごと最新に）pdf\790_prof.pdf","菊水東連合町内会")</f>
        <v>菊水東連合町内会</v>
      </c>
      <c r="C248" s="32" t="s">
        <v>1393</v>
      </c>
      <c r="D248" s="32" t="s">
        <v>1394</v>
      </c>
      <c r="E248" s="41"/>
      <c r="F248" s="34" t="s">
        <v>1395</v>
      </c>
      <c r="G248" s="34" t="s">
        <v>1395</v>
      </c>
      <c r="H248" s="32" t="s">
        <v>1396</v>
      </c>
      <c r="I248" s="32" t="s">
        <v>1397</v>
      </c>
      <c r="J248" s="32" t="s">
        <v>1398</v>
      </c>
      <c r="K248" s="35" t="s">
        <v>37</v>
      </c>
      <c r="L248" s="35" t="s">
        <v>37</v>
      </c>
      <c r="M248" s="35" t="s">
        <v>37</v>
      </c>
      <c r="N248" s="35"/>
      <c r="O248" s="35"/>
      <c r="P248" s="35" t="s">
        <v>37</v>
      </c>
      <c r="Q248" s="35" t="s">
        <v>37</v>
      </c>
      <c r="R248" s="35" t="s">
        <v>37</v>
      </c>
      <c r="S248" s="35"/>
      <c r="T248" s="35"/>
      <c r="U248" s="35"/>
      <c r="V248" s="35"/>
      <c r="W248" s="35" t="s">
        <v>37</v>
      </c>
      <c r="X248" s="35"/>
      <c r="Y248" s="35"/>
      <c r="Z248" s="35"/>
      <c r="AA248" s="35"/>
      <c r="AB248" s="35"/>
      <c r="AC248" s="35" t="s">
        <v>37</v>
      </c>
    </row>
    <row r="249" spans="1:29" ht="148.5">
      <c r="A249" s="36">
        <v>791</v>
      </c>
      <c r="B249" s="37" t="str">
        <f>HYPERLINK("\\intranet-fs4\市）地域振興部\14市民自治推進室\06  市民活動\◎助成・積立・取崩（基金）\00：起案：団体登録\団体情報一覧\団体概要書（更新ごと最新に）pdf\791_prof.pdf","北郷親栄町内会連絡協議会")</f>
        <v>北郷親栄町内会連絡協議会</v>
      </c>
      <c r="C249" s="32" t="s">
        <v>1399</v>
      </c>
      <c r="D249" s="32" t="s">
        <v>1400</v>
      </c>
      <c r="E249" s="33" t="str">
        <f>HYPERLINK("http://kitagoshinei.jp","http://kitagoshinei.jp")</f>
        <v>http://kitagoshinei.jp</v>
      </c>
      <c r="F249" s="34" t="s">
        <v>1401</v>
      </c>
      <c r="G249" s="34" t="s">
        <v>1401</v>
      </c>
      <c r="H249" s="32" t="s">
        <v>1402</v>
      </c>
      <c r="I249" s="32" t="s">
        <v>1403</v>
      </c>
      <c r="J249" s="32" t="s">
        <v>1404</v>
      </c>
      <c r="K249" s="35" t="s">
        <v>37</v>
      </c>
      <c r="L249" s="35" t="s">
        <v>37</v>
      </c>
      <c r="M249" s="35" t="s">
        <v>37</v>
      </c>
      <c r="N249" s="35"/>
      <c r="O249" s="35"/>
      <c r="P249" s="35"/>
      <c r="Q249" s="35" t="s">
        <v>37</v>
      </c>
      <c r="R249" s="35" t="s">
        <v>37</v>
      </c>
      <c r="S249" s="35" t="s">
        <v>37</v>
      </c>
      <c r="T249" s="35"/>
      <c r="U249" s="35"/>
      <c r="V249" s="35"/>
      <c r="W249" s="35" t="s">
        <v>37</v>
      </c>
      <c r="X249" s="35" t="s">
        <v>37</v>
      </c>
      <c r="Y249" s="35"/>
      <c r="Z249" s="35"/>
      <c r="AA249" s="35"/>
      <c r="AB249" s="35"/>
      <c r="AC249" s="35"/>
    </row>
    <row r="250" spans="1:29" ht="135">
      <c r="A250" s="36">
        <v>792</v>
      </c>
      <c r="B250" s="37" t="str">
        <f>HYPERLINK("\\intranet-fs4\市）地域振興部\14市民自治推進室\06  市民活動\◎助成・積立・取崩（基金）\00：起案：団体登録\団体情報一覧\団体概要書（更新ごと最新に）pdf\792_prof.pdf","男性料理クラブ　『豊丁の会』")</f>
        <v>男性料理クラブ　『豊丁の会』</v>
      </c>
      <c r="C250" s="32" t="s">
        <v>1405</v>
      </c>
      <c r="D250" s="32" t="s">
        <v>1406</v>
      </c>
      <c r="E250" s="41"/>
      <c r="F250" s="34" t="s">
        <v>1407</v>
      </c>
      <c r="G250" s="34" t="s">
        <v>1407</v>
      </c>
      <c r="H250" s="32" t="s">
        <v>1408</v>
      </c>
      <c r="I250" s="32" t="s">
        <v>1409</v>
      </c>
      <c r="J250" s="32" t="s">
        <v>1410</v>
      </c>
      <c r="K250" s="35" t="s">
        <v>37</v>
      </c>
      <c r="L250" s="35"/>
      <c r="M250" s="35"/>
      <c r="N250" s="35"/>
      <c r="O250" s="35" t="s">
        <v>37</v>
      </c>
      <c r="P250" s="35"/>
      <c r="Q250" s="35"/>
      <c r="R250" s="35"/>
      <c r="S250" s="35"/>
      <c r="T250" s="35"/>
      <c r="U250" s="35"/>
      <c r="V250" s="35" t="s">
        <v>37</v>
      </c>
      <c r="W250" s="35"/>
      <c r="X250" s="35"/>
      <c r="Y250" s="35"/>
      <c r="Z250" s="35"/>
      <c r="AA250" s="35"/>
      <c r="AB250" s="35"/>
      <c r="AC250" s="35"/>
    </row>
    <row r="251" spans="1:29" ht="135">
      <c r="A251" s="36">
        <v>793</v>
      </c>
      <c r="B251" s="37" t="str">
        <f>HYPERLINK("\\intranet-fs4\市）地域振興部\14市民自治推進室\06  市民活動\◎助成・積立・取崩（基金）\00：起案：団体登録\団体情報一覧\団体概要書（更新ごと最新に）pdf\793_prof.pdf","演劇ユニット　わんわんズ")</f>
        <v>演劇ユニット　わんわんズ</v>
      </c>
      <c r="C251" s="32" t="s">
        <v>1411</v>
      </c>
      <c r="D251" s="32" t="s">
        <v>1125</v>
      </c>
      <c r="E251" s="33" t="str">
        <f>HYPERLINK("https://one-ones.com/","https://one-ones.com/")</f>
        <v>https://one-ones.com/</v>
      </c>
      <c r="F251" s="34" t="s">
        <v>1412</v>
      </c>
      <c r="G251" s="34" t="s">
        <v>1412</v>
      </c>
      <c r="H251" s="32" t="s">
        <v>1413</v>
      </c>
      <c r="I251" s="32" t="s">
        <v>1414</v>
      </c>
      <c r="J251" s="32" t="s">
        <v>1415</v>
      </c>
      <c r="K251" s="35"/>
      <c r="L251" s="35" t="s">
        <v>37</v>
      </c>
      <c r="M251" s="35"/>
      <c r="N251" s="35"/>
      <c r="O251" s="35"/>
      <c r="P251" s="35" t="s">
        <v>37</v>
      </c>
      <c r="Q251" s="35" t="s">
        <v>37</v>
      </c>
      <c r="R251" s="35"/>
      <c r="S251" s="35" t="s">
        <v>37</v>
      </c>
      <c r="T251" s="35"/>
      <c r="U251" s="35"/>
      <c r="V251" s="35"/>
      <c r="W251" s="35" t="s">
        <v>37</v>
      </c>
      <c r="X251" s="35"/>
      <c r="Y251" s="35"/>
      <c r="Z251" s="35"/>
      <c r="AA251" s="35"/>
      <c r="AB251" s="35"/>
      <c r="AC251" s="35"/>
    </row>
    <row r="252" spans="1:29" ht="162">
      <c r="A252" s="36">
        <v>794</v>
      </c>
      <c r="B252" s="37" t="str">
        <f>HYPERLINK("\\intranet-fs4\市）地域振興部\14市民自治推進室\06  市民活動\◎助成・積立・取崩（基金）\00：起案：団体登録\団体情報一覧\団体概要書（更新ごと最新に）pdf\794_prof.pdf","特定非営利活動法人 MINNAの会")</f>
        <v>特定非営利活動法人 MINNAの会</v>
      </c>
      <c r="C252" s="32" t="s">
        <v>1416</v>
      </c>
      <c r="D252" s="32" t="s">
        <v>1417</v>
      </c>
      <c r="E252" s="38" t="str">
        <f>HYPERLINK("https://cafeminna22.stars.ne.jp","https://cafeminna22.stars.ne.jp")</f>
        <v>https://cafeminna22.stars.ne.jp</v>
      </c>
      <c r="F252" s="34" t="s">
        <v>1418</v>
      </c>
      <c r="G252" s="34" t="s">
        <v>431</v>
      </c>
      <c r="H252" s="32" t="s">
        <v>1419</v>
      </c>
      <c r="I252" s="32" t="s">
        <v>1420</v>
      </c>
      <c r="J252" s="32" t="s">
        <v>1421</v>
      </c>
      <c r="K252" s="35" t="s">
        <v>37</v>
      </c>
      <c r="L252" s="35" t="s">
        <v>37</v>
      </c>
      <c r="M252" s="35" t="s">
        <v>37</v>
      </c>
      <c r="N252" s="35"/>
      <c r="O252" s="35"/>
      <c r="P252" s="35"/>
      <c r="Q252" s="35"/>
      <c r="R252" s="35"/>
      <c r="S252" s="35"/>
      <c r="T252" s="35"/>
      <c r="U252" s="35"/>
      <c r="V252" s="35"/>
      <c r="W252" s="35" t="s">
        <v>37</v>
      </c>
      <c r="X252" s="35"/>
      <c r="Y252" s="35"/>
      <c r="Z252" s="35"/>
      <c r="AA252" s="35"/>
      <c r="AB252" s="35"/>
      <c r="AC252" s="35" t="s">
        <v>37</v>
      </c>
    </row>
    <row r="253" spans="1:29" ht="202.5">
      <c r="A253" s="36">
        <v>795</v>
      </c>
      <c r="B253" s="37" t="str">
        <f>HYPERLINK("\\intranet-fs4\市）地域振興部\14市民自治推進室\06  市民活動\◎助成・積立・取崩（基金）\00：起案：団体登録\団体情報一覧\団体概要書（更新ごと最新に）pdf\795_prof.pdf","北東白石連合町内会")</f>
        <v>北東白石連合町内会</v>
      </c>
      <c r="C253" s="32" t="s">
        <v>1422</v>
      </c>
      <c r="D253" s="32" t="s">
        <v>1423</v>
      </c>
      <c r="E253" s="41"/>
      <c r="F253" s="34" t="s">
        <v>1424</v>
      </c>
      <c r="G253" s="34" t="s">
        <v>1424</v>
      </c>
      <c r="H253" s="32" t="s">
        <v>1425</v>
      </c>
      <c r="I253" s="32" t="s">
        <v>1426</v>
      </c>
      <c r="J253" s="32" t="s">
        <v>1427</v>
      </c>
      <c r="K253" s="35"/>
      <c r="L253" s="35"/>
      <c r="M253" s="35" t="s">
        <v>37</v>
      </c>
      <c r="N253" s="35"/>
      <c r="O253" s="35"/>
      <c r="P253" s="35"/>
      <c r="Q253" s="35"/>
      <c r="R253" s="35" t="s">
        <v>37</v>
      </c>
      <c r="S253" s="35" t="s">
        <v>37</v>
      </c>
      <c r="T253" s="35"/>
      <c r="U253" s="35"/>
      <c r="V253" s="35"/>
      <c r="W253" s="35"/>
      <c r="X253" s="35"/>
      <c r="Y253" s="35"/>
      <c r="Z253" s="35"/>
      <c r="AA253" s="35"/>
      <c r="AB253" s="35"/>
      <c r="AC253" s="35"/>
    </row>
    <row r="254" spans="1:29" ht="135">
      <c r="A254" s="36">
        <v>796</v>
      </c>
      <c r="B254" s="37" t="str">
        <f>HYPERLINK("\\intranet-fs4\市）地域振興部\14市民自治推進室\06  市民活動\◎助成・積立・取崩（基金）\00：起案：団体登録\団体情報一覧\団体概要書（更新ごと最新に）pdf\796_prof.pdf","札幌盆栽文化普及団体　掌（たなごころ）")</f>
        <v>札幌盆栽文化普及団体　掌（たなごころ）</v>
      </c>
      <c r="C254" s="32" t="s">
        <v>1428</v>
      </c>
      <c r="D254" s="32" t="s">
        <v>1429</v>
      </c>
      <c r="E254" s="33" t="str">
        <f>HYPERLINK("https://qzj12432.wixsite.com/tanagokoro","https://qzj12432.wixsite.com/tanagokoro")</f>
        <v>https://qzj12432.wixsite.com/tanagokoro</v>
      </c>
      <c r="F254" s="34" t="s">
        <v>727</v>
      </c>
      <c r="G254" s="34" t="s">
        <v>727</v>
      </c>
      <c r="H254" s="32" t="s">
        <v>1430</v>
      </c>
      <c r="I254" s="32" t="s">
        <v>1431</v>
      </c>
      <c r="J254" s="32" t="s">
        <v>1432</v>
      </c>
      <c r="K254" s="35"/>
      <c r="L254" s="35"/>
      <c r="M254" s="35"/>
      <c r="N254" s="35"/>
      <c r="O254" s="35"/>
      <c r="P254" s="35" t="s">
        <v>37</v>
      </c>
      <c r="Q254" s="35"/>
      <c r="R254" s="35"/>
      <c r="S254" s="35"/>
      <c r="T254" s="35"/>
      <c r="U254" s="35"/>
      <c r="V254" s="35"/>
      <c r="W254" s="35"/>
      <c r="X254" s="35"/>
      <c r="Y254" s="35"/>
      <c r="Z254" s="35"/>
      <c r="AA254" s="35"/>
      <c r="AB254" s="35"/>
      <c r="AC254" s="35"/>
    </row>
    <row r="255" spans="1:29" ht="81">
      <c r="A255" s="36">
        <v>797</v>
      </c>
      <c r="B255" s="37" t="str">
        <f>HYPERLINK("\\intranet-fs4\市）地域振興部\14市民自治推進室\06  市民活動\◎助成・積立・取崩（基金）\00：起案：団体登録\団体情報一覧\団体概要書（更新ごと最新に）pdf\797_prof.pdf","白石東地区町内会連合会")</f>
        <v>白石東地区町内会連合会</v>
      </c>
      <c r="C255" s="32" t="s">
        <v>249</v>
      </c>
      <c r="D255" s="32" t="s">
        <v>1433</v>
      </c>
      <c r="E255" s="41"/>
      <c r="F255" s="34" t="s">
        <v>1434</v>
      </c>
      <c r="G255" s="34" t="s">
        <v>1435</v>
      </c>
      <c r="H255" s="32" t="s">
        <v>1436</v>
      </c>
      <c r="I255" s="32" t="s">
        <v>1437</v>
      </c>
      <c r="J255" s="32" t="s">
        <v>1438</v>
      </c>
      <c r="K255" s="35"/>
      <c r="L255" s="35" t="s">
        <v>37</v>
      </c>
      <c r="M255" s="35" t="s">
        <v>37</v>
      </c>
      <c r="N255" s="35"/>
      <c r="O255" s="35"/>
      <c r="P255" s="35"/>
      <c r="Q255" s="35" t="s">
        <v>37</v>
      </c>
      <c r="R255" s="35"/>
      <c r="S255" s="35" t="s">
        <v>37</v>
      </c>
      <c r="T255" s="35"/>
      <c r="U255" s="35"/>
      <c r="V255" s="35"/>
      <c r="W255" s="35"/>
      <c r="X255" s="35"/>
      <c r="Y255" s="35"/>
      <c r="Z255" s="35"/>
      <c r="AA255" s="35"/>
      <c r="AB255" s="35"/>
      <c r="AC255" s="35" t="s">
        <v>37</v>
      </c>
    </row>
    <row r="256" spans="1:29" ht="108">
      <c r="A256" s="36">
        <v>798</v>
      </c>
      <c r="B256" s="37" t="str">
        <f>HYPERLINK("\\intranet-fs4\市）地域振興部\14市民自治推進室\06  市民活動\◎助成・積立・取崩（基金）\00：起案：団体登録\団体情報一覧\団体概要書（更新ごと最新に）pdf\798_prof.pdf","特定非営利活動法人　福祉のしゃべりば")</f>
        <v>特定非営利活動法人　福祉のしゃべりば</v>
      </c>
      <c r="C256" s="32" t="s">
        <v>1439</v>
      </c>
      <c r="D256" s="32" t="s">
        <v>1440</v>
      </c>
      <c r="E256" s="33" t="str">
        <f>HYPERLINK("https://sites.google.com/view/hukusyabe/%E3%83%9B%E3%83%BC%E3%83%A0","https://sites.google.com/view/hukusyabe/%E3%83%9B%E3%83%BC%E3%83%A0")</f>
        <v>https://sites.google.com/view/hukusyabe/%E3%83%9B%E3%83%BC%E3%83%A0</v>
      </c>
      <c r="F256" s="34" t="s">
        <v>1441</v>
      </c>
      <c r="G256" s="34" t="s">
        <v>1441</v>
      </c>
      <c r="H256" s="32" t="s">
        <v>1442</v>
      </c>
      <c r="I256" s="32" t="s">
        <v>1443</v>
      </c>
      <c r="J256" s="32" t="s">
        <v>1444</v>
      </c>
      <c r="K256" s="35" t="s">
        <v>37</v>
      </c>
      <c r="L256" s="35" t="s">
        <v>37</v>
      </c>
      <c r="M256" s="35"/>
      <c r="N256" s="35"/>
      <c r="O256" s="35"/>
      <c r="P256" s="35"/>
      <c r="Q256" s="35"/>
      <c r="R256" s="35"/>
      <c r="S256" s="35"/>
      <c r="T256" s="35"/>
      <c r="U256" s="35"/>
      <c r="V256" s="35"/>
      <c r="W256" s="35"/>
      <c r="X256" s="35" t="s">
        <v>37</v>
      </c>
      <c r="Y256" s="35"/>
      <c r="Z256" s="35"/>
      <c r="AA256" s="35"/>
      <c r="AB256" s="35"/>
      <c r="AC256" s="35"/>
    </row>
    <row r="257" spans="1:29" ht="54">
      <c r="A257" s="36">
        <v>799</v>
      </c>
      <c r="B257" s="37" t="str">
        <f>HYPERLINK("\\intranet-fs4\市）地域振興部\14市民自治推進室\06  市民活動\◎助成・積立・取崩（基金）\00：起案：団体登録\団体情報一覧\団体概要書（更新ごと最新に）pdf\799_prof.pdf","特定非営利活動法人　さっぽろ犯罪被害者等援助センター")</f>
        <v>特定非営利活動法人　さっぽろ犯罪被害者等援助センター</v>
      </c>
      <c r="C257" s="32" t="s">
        <v>448</v>
      </c>
      <c r="D257" s="32" t="s">
        <v>1125</v>
      </c>
      <c r="E257" s="33" t="str">
        <f>HYPERLINK("https://hiro-himawari.net/","https://hiro-himawari.net/")</f>
        <v>https://hiro-himawari.net/</v>
      </c>
      <c r="F257" s="34" t="s">
        <v>1445</v>
      </c>
      <c r="G257" s="34" t="s">
        <v>1445</v>
      </c>
      <c r="H257" s="32" t="s">
        <v>1446</v>
      </c>
      <c r="I257" s="32" t="s">
        <v>1447</v>
      </c>
      <c r="J257" s="32" t="s">
        <v>1448</v>
      </c>
      <c r="K257" s="35"/>
      <c r="L257" s="35"/>
      <c r="M257" s="35"/>
      <c r="N257" s="35"/>
      <c r="O257" s="35"/>
      <c r="P257" s="35"/>
      <c r="Q257" s="35"/>
      <c r="R257" s="35"/>
      <c r="S257" s="35" t="s">
        <v>37</v>
      </c>
      <c r="T257" s="35" t="s">
        <v>37</v>
      </c>
      <c r="U257" s="35"/>
      <c r="V257" s="35"/>
      <c r="W257" s="35"/>
      <c r="X257" s="35"/>
      <c r="Y257" s="35"/>
      <c r="Z257" s="35"/>
      <c r="AA257" s="35"/>
      <c r="AB257" s="35"/>
      <c r="AC257" s="35"/>
    </row>
    <row r="258" spans="1:29" ht="67.5">
      <c r="A258" s="36">
        <v>800</v>
      </c>
      <c r="B258" s="37" t="str">
        <f>HYPERLINK("\\intranet-fs4\市）地域振興部\14市民自治推進室\06  市民活動\◎助成・積立・取崩（基金）\00：起案：団体登録\団体情報一覧\団体概要書（更新ごと最新に）pdf\800_prof.pdf","北海道自然観察協議会")</f>
        <v>北海道自然観察協議会</v>
      </c>
      <c r="C258" s="32" t="s">
        <v>1449</v>
      </c>
      <c r="D258" s="32" t="s">
        <v>1450</v>
      </c>
      <c r="E258" s="33" t="str">
        <f>HYPERLINK("http://www.noc-hokkaido.org","http://www.noc-hokkaido.org")</f>
        <v>http://www.noc-hokkaido.org</v>
      </c>
      <c r="F258" s="34" t="s">
        <v>1451</v>
      </c>
      <c r="G258" s="34" t="s">
        <v>1451</v>
      </c>
      <c r="H258" s="32" t="s">
        <v>1452</v>
      </c>
      <c r="I258" s="32" t="s">
        <v>1453</v>
      </c>
      <c r="J258" s="32" t="s">
        <v>1454</v>
      </c>
      <c r="K258" s="35"/>
      <c r="L258" s="35"/>
      <c r="M258" s="35"/>
      <c r="N258" s="35"/>
      <c r="O258" s="35"/>
      <c r="P258" s="35"/>
      <c r="Q258" s="35" t="s">
        <v>37</v>
      </c>
      <c r="R258" s="35"/>
      <c r="S258" s="35"/>
      <c r="T258" s="35"/>
      <c r="U258" s="35"/>
      <c r="V258" s="35"/>
      <c r="W258" s="35" t="s">
        <v>37</v>
      </c>
      <c r="X258" s="35"/>
      <c r="Y258" s="35"/>
      <c r="Z258" s="35"/>
      <c r="AA258" s="35"/>
      <c r="AB258" s="35"/>
      <c r="AC258" s="35"/>
    </row>
    <row r="259" spans="1:29" ht="121.5">
      <c r="A259" s="36">
        <v>801</v>
      </c>
      <c r="B259" s="37" t="str">
        <f>HYPERLINK("\\intranet-fs4\市）地域振興部\14市民自治推進室\06  市民活動\◎助成・積立・取崩（基金）\00：起案：団体登録\団体情報一覧\団体概要書（更新ごと最新に）pdf\801_prof.pdf","もみじ台自治連合会")</f>
        <v>もみじ台自治連合会</v>
      </c>
      <c r="C259" s="32" t="s">
        <v>1455</v>
      </c>
      <c r="D259" s="32" t="s">
        <v>1456</v>
      </c>
      <c r="E259" s="41"/>
      <c r="F259" s="34" t="s">
        <v>1457</v>
      </c>
      <c r="G259" s="34" t="s">
        <v>1457</v>
      </c>
      <c r="H259" s="32" t="s">
        <v>1458</v>
      </c>
      <c r="I259" s="32" t="s">
        <v>1459</v>
      </c>
      <c r="J259" s="32" t="s">
        <v>1460</v>
      </c>
      <c r="K259" s="35" t="s">
        <v>37</v>
      </c>
      <c r="L259" s="35"/>
      <c r="M259" s="35" t="s">
        <v>37</v>
      </c>
      <c r="N259" s="35"/>
      <c r="O259" s="35"/>
      <c r="P259" s="35"/>
      <c r="Q259" s="35" t="s">
        <v>37</v>
      </c>
      <c r="R259" s="35" t="s">
        <v>37</v>
      </c>
      <c r="S259" s="35"/>
      <c r="T259" s="35"/>
      <c r="U259" s="35"/>
      <c r="V259" s="35"/>
      <c r="W259" s="35" t="s">
        <v>37</v>
      </c>
      <c r="X259" s="35"/>
      <c r="Y259" s="35"/>
      <c r="Z259" s="35"/>
      <c r="AA259" s="35"/>
      <c r="AB259" s="35"/>
      <c r="AC259" s="35"/>
    </row>
    <row r="260" spans="1:29" ht="81">
      <c r="A260" s="36">
        <v>802</v>
      </c>
      <c r="B260" s="37" t="str">
        <f>HYPERLINK("\\intranet-fs4\市）地域振興部\14市民自治推進室\06  市民活動\◎助成・積立・取崩（基金）\00：起案：団体登録\団体情報一覧\団体概要書（更新ごと最新に）pdf\802_prof.pdf","札幌太陽豊平子ども劇場")</f>
        <v>札幌太陽豊平子ども劇場</v>
      </c>
      <c r="C260" s="32" t="s">
        <v>78</v>
      </c>
      <c r="D260" s="32" t="s">
        <v>115</v>
      </c>
      <c r="E260" s="38" t="str">
        <f>HYPERLINK("ameblo.jp/toyohira-kogekihttp://ameblo.jp/toyohira-kogeki","ameblo.jp/toyohira-kogekihttp://ameblo.jp/toyohira-kogeki")</f>
        <v>ameblo.jp/toyohira-kogekihttp://ameblo.jp/toyohira-kogeki</v>
      </c>
      <c r="F260" s="34" t="s">
        <v>1461</v>
      </c>
      <c r="G260" s="34" t="s">
        <v>1461</v>
      </c>
      <c r="H260" s="32" t="s">
        <v>1462</v>
      </c>
      <c r="I260" s="32" t="s">
        <v>1463</v>
      </c>
      <c r="J260" s="32" t="s">
        <v>1464</v>
      </c>
      <c r="K260" s="35"/>
      <c r="L260" s="35" t="s">
        <v>37</v>
      </c>
      <c r="M260" s="35" t="s">
        <v>37</v>
      </c>
      <c r="N260" s="35"/>
      <c r="O260" s="35"/>
      <c r="P260" s="35" t="s">
        <v>37</v>
      </c>
      <c r="Q260" s="35"/>
      <c r="R260" s="35"/>
      <c r="S260" s="35"/>
      <c r="T260" s="35"/>
      <c r="U260" s="35"/>
      <c r="V260" s="35"/>
      <c r="W260" s="35" t="s">
        <v>37</v>
      </c>
      <c r="X260" s="35"/>
      <c r="Y260" s="35"/>
      <c r="Z260" s="35"/>
      <c r="AA260" s="35"/>
      <c r="AB260" s="35"/>
      <c r="AC260" s="35"/>
    </row>
    <row r="261" spans="1:29" ht="175.5">
      <c r="A261" s="36">
        <v>803</v>
      </c>
      <c r="B261" s="37" t="str">
        <f>HYPERLINK("\\intranet-fs4\市）地域振興部\14市民自治推進室\06  市民活動\◎助成・積立・取崩（基金）\00：起案：団体登録\団体情報一覧\団体概要書（更新ごと最新に）pdf\803_prof.pdf","特定非営利活動法人ウォークラボ札幌")</f>
        <v>特定非営利活動法人ウォークラボ札幌</v>
      </c>
      <c r="C261" s="32" t="s">
        <v>1465</v>
      </c>
      <c r="D261" s="32" t="s">
        <v>79</v>
      </c>
      <c r="E261" s="33" t="str">
        <f>HYPERLINK("https://www.sapporo-rw.com/","https://www.sapporo-rw.com/")</f>
        <v>https://www.sapporo-rw.com/</v>
      </c>
      <c r="F261" s="34" t="s">
        <v>1085</v>
      </c>
      <c r="G261" s="34" t="s">
        <v>1466</v>
      </c>
      <c r="H261" s="32" t="s">
        <v>1467</v>
      </c>
      <c r="I261" s="32" t="s">
        <v>1468</v>
      </c>
      <c r="J261" s="32" t="s">
        <v>1469</v>
      </c>
      <c r="K261" s="35" t="s">
        <v>37</v>
      </c>
      <c r="L261" s="35" t="s">
        <v>37</v>
      </c>
      <c r="M261" s="35" t="s">
        <v>37</v>
      </c>
      <c r="N261" s="35" t="s">
        <v>37</v>
      </c>
      <c r="O261" s="35"/>
      <c r="P261" s="35" t="s">
        <v>37</v>
      </c>
      <c r="Q261" s="35" t="s">
        <v>37</v>
      </c>
      <c r="R261" s="35"/>
      <c r="S261" s="35"/>
      <c r="T261" s="35"/>
      <c r="U261" s="35"/>
      <c r="V261" s="35"/>
      <c r="W261" s="35" t="s">
        <v>37</v>
      </c>
      <c r="X261" s="35"/>
      <c r="Y261" s="35"/>
      <c r="Z261" s="35" t="s">
        <v>37</v>
      </c>
      <c r="AA261" s="35"/>
      <c r="AB261" s="35"/>
      <c r="AC261" s="35"/>
    </row>
    <row r="262" spans="1:29" ht="162">
      <c r="A262" s="36">
        <v>804</v>
      </c>
      <c r="B262" s="37" t="str">
        <f>HYPERLINK("\\intranet-fs4\市）地域振興部\14市民自治推進室\06  市民活動\◎助成・積立・取崩（基金）\00：起案：団体登録\団体情報一覧\団体概要書（更新ごと最新に）pdf\804_prof.pdf","特定非営利活動法人　多様な学生の支援を本気で考える会")</f>
        <v>特定非営利活動法人　多様な学生の支援を本気で考える会</v>
      </c>
      <c r="C262" s="32" t="s">
        <v>1470</v>
      </c>
      <c r="D262" s="32" t="s">
        <v>1471</v>
      </c>
      <c r="E262" s="33" t="str">
        <f>HYPERLINK("https://kaku-shika.jp/","https://kaku-shika.jp/")</f>
        <v>https://kaku-shika.jp/</v>
      </c>
      <c r="F262" s="34" t="s">
        <v>1472</v>
      </c>
      <c r="G262" s="34" t="s">
        <v>1071</v>
      </c>
      <c r="H262" s="32" t="s">
        <v>1473</v>
      </c>
      <c r="I262" s="32" t="s">
        <v>1474</v>
      </c>
      <c r="J262" s="32" t="s">
        <v>1475</v>
      </c>
      <c r="K262" s="35" t="s">
        <v>37</v>
      </c>
      <c r="L262" s="35" t="s">
        <v>37</v>
      </c>
      <c r="M262" s="35"/>
      <c r="N262" s="35"/>
      <c r="O262" s="35"/>
      <c r="P262" s="35" t="s">
        <v>37</v>
      </c>
      <c r="Q262" s="35"/>
      <c r="R262" s="35"/>
      <c r="S262" s="35"/>
      <c r="T262" s="35"/>
      <c r="U262" s="35"/>
      <c r="V262" s="35"/>
      <c r="W262" s="35" t="s">
        <v>37</v>
      </c>
      <c r="X262" s="35"/>
      <c r="Y262" s="35"/>
      <c r="Z262" s="35" t="s">
        <v>37</v>
      </c>
      <c r="AA262" s="35" t="s">
        <v>37</v>
      </c>
      <c r="AB262" s="35"/>
      <c r="AC262" s="35" t="s">
        <v>37</v>
      </c>
    </row>
    <row r="263" spans="1:29" ht="94.5">
      <c r="A263" s="36">
        <v>805</v>
      </c>
      <c r="B263" s="37" t="str">
        <f>HYPERLINK("\\intranet-fs4\市）地域振興部\14市民自治推進室\06  市民活動\◎助成・積立・取崩（基金）\00：起案：団体登録\団体情報一覧\団体概要書（更新ごと最新に）pdf\805_prof.pdf","全国ギャンブル依存症家族の会　北海道")</f>
        <v>全国ギャンブル依存症家族の会　北海道</v>
      </c>
      <c r="C263" s="32" t="s">
        <v>1476</v>
      </c>
      <c r="D263" s="32" t="s">
        <v>79</v>
      </c>
      <c r="E263" s="33" t="str">
        <f>HYPERLINK("https://gdfam.org","https://gdfam.org")</f>
        <v>https://gdfam.org</v>
      </c>
      <c r="F263" s="34" t="s">
        <v>1472</v>
      </c>
      <c r="G263" s="34" t="s">
        <v>1472</v>
      </c>
      <c r="H263" s="32" t="s">
        <v>1477</v>
      </c>
      <c r="I263" s="32" t="s">
        <v>1478</v>
      </c>
      <c r="J263" s="32" t="s">
        <v>1479</v>
      </c>
      <c r="K263" s="35" t="s">
        <v>37</v>
      </c>
      <c r="L263" s="35" t="s">
        <v>37</v>
      </c>
      <c r="M263" s="35"/>
      <c r="N263" s="35"/>
      <c r="O263" s="35"/>
      <c r="P263" s="35"/>
      <c r="Q263" s="35"/>
      <c r="R263" s="35"/>
      <c r="S263" s="35"/>
      <c r="T263" s="35" t="s">
        <v>37</v>
      </c>
      <c r="U263" s="35"/>
      <c r="V263" s="35"/>
      <c r="W263" s="35"/>
      <c r="X263" s="35"/>
      <c r="Y263" s="35"/>
      <c r="Z263" s="35"/>
      <c r="AA263" s="35"/>
      <c r="AB263" s="35"/>
      <c r="AC263" s="35" t="s">
        <v>37</v>
      </c>
    </row>
    <row r="264" spans="1:29" ht="94.5">
      <c r="A264" s="36">
        <v>806</v>
      </c>
      <c r="B264" s="37" t="str">
        <f>HYPERLINK("\\intranet-fs4\市）地域振興部\14市民自治推進室\06  市民活動\◎助成・積立・取崩（基金）\00：起案：団体登録\団体情報一覧\団体概要書（更新ごと最新に）pdf\806_prof.pdf","八百カフェ学生実行委員会")</f>
        <v>八百カフェ学生実行委員会</v>
      </c>
      <c r="C264" s="32" t="s">
        <v>1480</v>
      </c>
      <c r="D264" s="32" t="s">
        <v>1481</v>
      </c>
      <c r="E264" s="33" t="str">
        <f>HYPERLINK("https://yaocafe.jp/","https://yaocafe.jp/")</f>
        <v>https://yaocafe.jp/</v>
      </c>
      <c r="F264" s="34" t="s">
        <v>1153</v>
      </c>
      <c r="G264" s="34" t="s">
        <v>1153</v>
      </c>
      <c r="H264" s="32" t="s">
        <v>1482</v>
      </c>
      <c r="I264" s="32" t="s">
        <v>1483</v>
      </c>
      <c r="J264" s="32" t="s">
        <v>1484</v>
      </c>
      <c r="K264" s="35" t="s">
        <v>37</v>
      </c>
      <c r="L264" s="35"/>
      <c r="M264" s="35" t="s">
        <v>37</v>
      </c>
      <c r="N264" s="35"/>
      <c r="O264" s="35"/>
      <c r="P264" s="35" t="s">
        <v>37</v>
      </c>
      <c r="Q264" s="35"/>
      <c r="R264" s="35"/>
      <c r="S264" s="35"/>
      <c r="T264" s="35"/>
      <c r="U264" s="35"/>
      <c r="V264" s="35"/>
      <c r="W264" s="35" t="s">
        <v>37</v>
      </c>
      <c r="X264" s="35"/>
      <c r="Y264" s="35"/>
      <c r="Z264" s="35" t="s">
        <v>37</v>
      </c>
      <c r="AA264" s="35"/>
      <c r="AB264" s="35"/>
      <c r="AC264" s="35"/>
    </row>
    <row r="265" spans="1:29" ht="148.5">
      <c r="A265" s="36">
        <v>807</v>
      </c>
      <c r="B265" s="37" t="str">
        <f>HYPERLINK("\\intranet-fs4\市）地域振興部\14市民自治推進室\06  市民活動\◎助成・積立・取崩（基金）\00：起案：団体登録\団体情報一覧\団体概要書（更新ごと最新に）pdf\807_prof.pdf","北海道吹奏楽プロジェクト")</f>
        <v>北海道吹奏楽プロジェクト</v>
      </c>
      <c r="C265" s="32" t="s">
        <v>1485</v>
      </c>
      <c r="D265" s="32" t="s">
        <v>1486</v>
      </c>
      <c r="E265" s="41"/>
      <c r="F265" s="34" t="s">
        <v>1487</v>
      </c>
      <c r="G265" s="34" t="s">
        <v>1487</v>
      </c>
      <c r="H265" s="32" t="s">
        <v>1488</v>
      </c>
      <c r="I265" s="32" t="s">
        <v>1489</v>
      </c>
      <c r="J265" s="32" t="s">
        <v>1490</v>
      </c>
      <c r="K265" s="35" t="s">
        <v>37</v>
      </c>
      <c r="L265" s="35" t="s">
        <v>37</v>
      </c>
      <c r="M265" s="35"/>
      <c r="N265" s="35"/>
      <c r="O265" s="35"/>
      <c r="P265" s="35" t="s">
        <v>37</v>
      </c>
      <c r="Q265" s="35"/>
      <c r="R265" s="35"/>
      <c r="S265" s="35"/>
      <c r="T265" s="35"/>
      <c r="U265" s="35"/>
      <c r="V265" s="35"/>
      <c r="W265" s="35" t="s">
        <v>37</v>
      </c>
      <c r="X265" s="35"/>
      <c r="Y265" s="35"/>
      <c r="Z265" s="35"/>
      <c r="AA265" s="35"/>
      <c r="AB265" s="35"/>
      <c r="AC265" s="35"/>
    </row>
    <row r="266" spans="1:29" ht="189">
      <c r="A266" s="36">
        <v>808</v>
      </c>
      <c r="B266" s="37" t="str">
        <f>HYPERLINK("\\intranet-fs4\市）地域振興部\14市民自治推進室\06  市民活動\◎助成・積立・取崩（基金）\00：起案：団体登録\団体情報一覧\団体概要書（更新ごと最新に）pdf\808_prof.pdf","特定非営利活動法人　北海道食の自給ネットワーク")</f>
        <v>特定非営利活動法人　北海道食の自給ネットワーク</v>
      </c>
      <c r="C266" s="32" t="s">
        <v>1491</v>
      </c>
      <c r="D266" s="32" t="s">
        <v>1492</v>
      </c>
      <c r="E266" s="33" t="str">
        <f>HYPERLINK("http://jikyuu.net/","http://jikyuu.net/")</f>
        <v>http://jikyuu.net/</v>
      </c>
      <c r="F266" s="34" t="s">
        <v>307</v>
      </c>
      <c r="G266" s="34" t="s">
        <v>1493</v>
      </c>
      <c r="H266" s="32" t="s">
        <v>1494</v>
      </c>
      <c r="I266" s="32" t="s">
        <v>1495</v>
      </c>
      <c r="J266" s="32" t="s">
        <v>1496</v>
      </c>
      <c r="K266" s="35"/>
      <c r="L266" s="35" t="s">
        <v>37</v>
      </c>
      <c r="M266" s="35"/>
      <c r="N266" s="35"/>
      <c r="O266" s="35"/>
      <c r="P266" s="35"/>
      <c r="Q266" s="35" t="s">
        <v>37</v>
      </c>
      <c r="R266" s="35"/>
      <c r="S266" s="35"/>
      <c r="T266" s="35"/>
      <c r="U266" s="35"/>
      <c r="V266" s="35"/>
      <c r="W266" s="35" t="s">
        <v>37</v>
      </c>
      <c r="X266" s="35"/>
      <c r="Y266" s="35"/>
      <c r="Z266" s="35" t="s">
        <v>37</v>
      </c>
      <c r="AA266" s="35"/>
      <c r="AB266" s="35" t="s">
        <v>37</v>
      </c>
      <c r="AC266" s="35" t="s">
        <v>37</v>
      </c>
    </row>
    <row r="267" spans="1:29" ht="121.5">
      <c r="A267" s="36">
        <v>809</v>
      </c>
      <c r="B267" s="37" t="str">
        <f>HYPERLINK("\\intranet-fs4\市）地域振興部\14市民自治推進室\06  市民活動\◎助成・積立・取崩（基金）\00：起案：団体登録\団体情報一覧\団体概要書（更新ごと最新に）pdf\809_prof.pdf","北海道双子協会")</f>
        <v>北海道双子協会</v>
      </c>
      <c r="C267" s="32" t="s">
        <v>970</v>
      </c>
      <c r="D267" s="32" t="s">
        <v>1497</v>
      </c>
      <c r="E267" s="41"/>
      <c r="F267" s="34" t="s">
        <v>1441</v>
      </c>
      <c r="G267" s="34" t="s">
        <v>1441</v>
      </c>
      <c r="H267" s="32" t="s">
        <v>1498</v>
      </c>
      <c r="I267" s="32" t="s">
        <v>1499</v>
      </c>
      <c r="J267" s="32" t="s">
        <v>1500</v>
      </c>
      <c r="K267" s="35" t="s">
        <v>37</v>
      </c>
      <c r="L267" s="35"/>
      <c r="M267" s="35" t="s">
        <v>37</v>
      </c>
      <c r="N267" s="35"/>
      <c r="O267" s="35"/>
      <c r="P267" s="35"/>
      <c r="Q267" s="35"/>
      <c r="R267" s="35"/>
      <c r="S267" s="35"/>
      <c r="T267" s="35"/>
      <c r="U267" s="35"/>
      <c r="V267" s="35" t="s">
        <v>37</v>
      </c>
      <c r="W267" s="35" t="s">
        <v>37</v>
      </c>
      <c r="X267" s="35"/>
      <c r="Y267" s="35"/>
      <c r="Z267" s="35"/>
      <c r="AA267" s="35"/>
      <c r="AB267" s="35"/>
      <c r="AC267" s="35"/>
    </row>
    <row r="268" spans="1:29" ht="108">
      <c r="A268" s="36">
        <v>810</v>
      </c>
      <c r="B268" s="37" t="str">
        <f>HYPERLINK("\\intranet-fs4\市）地域振興部\14市民自治推進室\06  市民活動\◎助成・積立・取崩（基金）\00：起案：団体登録\団体情報一覧\団体概要書（更新ごと最新に）pdf\810_prof.pdf","Wise-User Project実行委員会")</f>
        <v>Wise-User Project実行委員会</v>
      </c>
      <c r="C268" s="32" t="s">
        <v>1501</v>
      </c>
      <c r="D268" s="32" t="s">
        <v>1492</v>
      </c>
      <c r="E268" s="41"/>
      <c r="F268" s="34" t="s">
        <v>1239</v>
      </c>
      <c r="G268" s="34" t="s">
        <v>1239</v>
      </c>
      <c r="H268" s="32" t="s">
        <v>1502</v>
      </c>
      <c r="I268" s="32" t="s">
        <v>1503</v>
      </c>
      <c r="J268" s="32" t="s">
        <v>1504</v>
      </c>
      <c r="K268" s="35"/>
      <c r="L268" s="35" t="s">
        <v>37</v>
      </c>
      <c r="M268" s="35"/>
      <c r="N268" s="35"/>
      <c r="O268" s="35" t="s">
        <v>37</v>
      </c>
      <c r="P268" s="35"/>
      <c r="Q268" s="35" t="s">
        <v>37</v>
      </c>
      <c r="R268" s="35"/>
      <c r="S268" s="35"/>
      <c r="T268" s="35"/>
      <c r="U268" s="35"/>
      <c r="V268" s="35"/>
      <c r="W268" s="35" t="s">
        <v>37</v>
      </c>
      <c r="X268" s="35"/>
      <c r="Y268" s="35"/>
      <c r="Z268" s="35"/>
      <c r="AA268" s="35"/>
      <c r="AB268" s="35" t="s">
        <v>37</v>
      </c>
      <c r="AC268" s="35" t="s">
        <v>37</v>
      </c>
    </row>
    <row r="269" spans="1:29" ht="121.5">
      <c r="A269" s="36">
        <v>811</v>
      </c>
      <c r="B269" s="37" t="str">
        <f>HYPERLINK("\\intranet-fs4\市）地域振興部\14市民自治推進室\06  市民活動\◎助成・積立・取崩（基金）\00：起案：団体登録\団体情報一覧\団体概要書（更新ごと最新に）pdf\811_prof.pdf","厚別中央町内会連合会")</f>
        <v>厚別中央町内会連合会</v>
      </c>
      <c r="C269" s="32" t="s">
        <v>1505</v>
      </c>
      <c r="D269" s="32" t="s">
        <v>1506</v>
      </c>
      <c r="E269" s="41"/>
      <c r="F269" s="34" t="s">
        <v>1507</v>
      </c>
      <c r="G269" s="34" t="s">
        <v>1507</v>
      </c>
      <c r="H269" s="32" t="s">
        <v>1508</v>
      </c>
      <c r="I269" s="32" t="s">
        <v>1509</v>
      </c>
      <c r="J269" s="32" t="s">
        <v>1510</v>
      </c>
      <c r="K269" s="35"/>
      <c r="L269" s="35"/>
      <c r="M269" s="35" t="s">
        <v>37</v>
      </c>
      <c r="N269" s="35"/>
      <c r="O269" s="35"/>
      <c r="P269" s="35"/>
      <c r="Q269" s="35" t="s">
        <v>37</v>
      </c>
      <c r="R269" s="35" t="s">
        <v>37</v>
      </c>
      <c r="S269" s="35" t="s">
        <v>37</v>
      </c>
      <c r="T269" s="35"/>
      <c r="U269" s="35"/>
      <c r="V269" s="35"/>
      <c r="W269" s="35" t="s">
        <v>37</v>
      </c>
      <c r="X269" s="35"/>
      <c r="Y269" s="35"/>
      <c r="Z269" s="35"/>
      <c r="AA269" s="35"/>
      <c r="AB269" s="35"/>
      <c r="AC269" s="35" t="s">
        <v>37</v>
      </c>
    </row>
    <row r="270" spans="1:29" ht="108">
      <c r="A270" s="36">
        <v>812</v>
      </c>
      <c r="B270" s="37" t="str">
        <f>HYPERLINK("\\intranet-fs4\市）地域振興部\14市民自治推進室\06  市民活動\◎助成・積立・取崩（基金）\00：起案：団体登録\団体情報一覧\団体概要書（更新ごと最新に）pdf\812_prof.pdf","厚別西町内会連合会")</f>
        <v>厚別西町内会連合会</v>
      </c>
      <c r="C270" s="32" t="s">
        <v>1511</v>
      </c>
      <c r="D270" s="32" t="s">
        <v>1512</v>
      </c>
      <c r="E270" s="41"/>
      <c r="F270" s="34" t="s">
        <v>1507</v>
      </c>
      <c r="G270" s="34" t="s">
        <v>1507</v>
      </c>
      <c r="H270" s="32" t="s">
        <v>1513</v>
      </c>
      <c r="I270" s="32" t="s">
        <v>1514</v>
      </c>
      <c r="J270" s="32" t="s">
        <v>1515</v>
      </c>
      <c r="K270" s="35" t="s">
        <v>37</v>
      </c>
      <c r="L270" s="35" t="s">
        <v>37</v>
      </c>
      <c r="M270" s="35" t="s">
        <v>37</v>
      </c>
      <c r="N270" s="35"/>
      <c r="O270" s="35"/>
      <c r="P270" s="35" t="s">
        <v>37</v>
      </c>
      <c r="Q270" s="35" t="s">
        <v>37</v>
      </c>
      <c r="R270" s="35" t="s">
        <v>37</v>
      </c>
      <c r="S270" s="35" t="s">
        <v>37</v>
      </c>
      <c r="T270" s="35"/>
      <c r="U270" s="35"/>
      <c r="V270" s="35"/>
      <c r="W270" s="35" t="s">
        <v>37</v>
      </c>
      <c r="X270" s="35"/>
      <c r="Y270" s="35"/>
      <c r="Z270" s="35"/>
      <c r="AA270" s="35"/>
      <c r="AB270" s="35"/>
      <c r="AC270" s="35"/>
    </row>
    <row r="271" spans="1:29" ht="135">
      <c r="A271" s="36">
        <v>813</v>
      </c>
      <c r="B271" s="37" t="str">
        <f>HYPERLINK("\\intranet-fs4\市）地域振興部\14市民自治推進室\06  市民活動\◎助成・積立・取崩（基金）\00：起案：団体登録\団体情報一覧\団体概要書（更新ごと最新に）pdf\813_prof.pdf","フェムテック札幌")</f>
        <v>フェムテック札幌</v>
      </c>
      <c r="C271" s="32" t="s">
        <v>1516</v>
      </c>
      <c r="D271" s="32" t="s">
        <v>470</v>
      </c>
      <c r="E271" s="48"/>
      <c r="F271" s="34" t="s">
        <v>1441</v>
      </c>
      <c r="G271" s="34" t="s">
        <v>1441</v>
      </c>
      <c r="H271" s="32" t="s">
        <v>1517</v>
      </c>
      <c r="I271" s="32" t="s">
        <v>1518</v>
      </c>
      <c r="J271" s="32" t="s">
        <v>1519</v>
      </c>
      <c r="K271" s="35" t="s">
        <v>37</v>
      </c>
      <c r="L271" s="35" t="s">
        <v>37</v>
      </c>
      <c r="M271" s="35" t="s">
        <v>37</v>
      </c>
      <c r="N271" s="35" t="s">
        <v>37</v>
      </c>
      <c r="O271" s="35"/>
      <c r="P271" s="35"/>
      <c r="Q271" s="35" t="s">
        <v>37</v>
      </c>
      <c r="R271" s="35" t="s">
        <v>37</v>
      </c>
      <c r="S271" s="35" t="s">
        <v>37</v>
      </c>
      <c r="T271" s="35" t="s">
        <v>37</v>
      </c>
      <c r="U271" s="35" t="s">
        <v>37</v>
      </c>
      <c r="V271" s="35" t="s">
        <v>37</v>
      </c>
      <c r="W271" s="35" t="s">
        <v>37</v>
      </c>
      <c r="X271" s="35" t="s">
        <v>37</v>
      </c>
      <c r="Y271" s="35" t="s">
        <v>37</v>
      </c>
      <c r="Z271" s="35" t="s">
        <v>37</v>
      </c>
      <c r="AA271" s="35" t="s">
        <v>37</v>
      </c>
      <c r="AB271" s="35" t="s">
        <v>37</v>
      </c>
      <c r="AC271" s="35" t="s">
        <v>37</v>
      </c>
    </row>
    <row r="272" spans="1:29" ht="148.5">
      <c r="A272" s="36">
        <v>814</v>
      </c>
      <c r="B272" s="37" t="str">
        <f>HYPERLINK("\\intranet-fs4\市）地域振興部\14市民自治推進室\06  市民活動\◎助成・積立・取崩（基金）\00：起案：団体登録\団体情報一覧\団体概要書（更新ごと最新に）pdf\814_prof.pdf","特定非営利活動法人防災したっけ")</f>
        <v>特定非営利活動法人防災したっけ</v>
      </c>
      <c r="C272" s="32" t="s">
        <v>1520</v>
      </c>
      <c r="D272" s="32" t="s">
        <v>1521</v>
      </c>
      <c r="E272" s="33" t="str">
        <f>HYPERLINK("https://bosaishitakke.com/","https://bosaishitakke.com/")</f>
        <v>https://bosaishitakke.com/</v>
      </c>
      <c r="F272" s="34" t="s">
        <v>1522</v>
      </c>
      <c r="G272" s="34" t="s">
        <v>1522</v>
      </c>
      <c r="H272" s="32" t="s">
        <v>1523</v>
      </c>
      <c r="I272" s="32" t="s">
        <v>1524</v>
      </c>
      <c r="J272" s="32" t="s">
        <v>1525</v>
      </c>
      <c r="K272" s="35" t="s">
        <v>37</v>
      </c>
      <c r="L272" s="35" t="s">
        <v>37</v>
      </c>
      <c r="M272" s="35" t="s">
        <v>37</v>
      </c>
      <c r="N272" s="35"/>
      <c r="O272" s="35"/>
      <c r="P272" s="35"/>
      <c r="Q272" s="35"/>
      <c r="R272" s="35" t="s">
        <v>37</v>
      </c>
      <c r="S272" s="35" t="s">
        <v>37</v>
      </c>
      <c r="T272" s="35" t="s">
        <v>37</v>
      </c>
      <c r="U272" s="35" t="s">
        <v>37</v>
      </c>
      <c r="V272" s="35" t="s">
        <v>37</v>
      </c>
      <c r="W272" s="35" t="s">
        <v>37</v>
      </c>
      <c r="X272" s="35" t="s">
        <v>37</v>
      </c>
      <c r="Y272" s="35"/>
      <c r="Z272" s="35"/>
      <c r="AA272" s="35" t="s">
        <v>37</v>
      </c>
      <c r="AB272" s="35"/>
      <c r="AC272" s="35" t="s">
        <v>37</v>
      </c>
    </row>
    <row r="273" spans="1:29" ht="121.5">
      <c r="A273" s="36">
        <v>815</v>
      </c>
      <c r="B273" s="37" t="str">
        <f>HYPERLINK("\\intranet-fs4\市）地域振興部\14市民自治推進室\06  市民活動\◎助成・積立・取崩（基金）\00：起案：団体登録\団体情報一覧\団体概要書（更新ごと最新に）pdf\815_prof.pdf","北海道グッド・トイ委員会")</f>
        <v>北海道グッド・トイ委員会</v>
      </c>
      <c r="C273" s="32" t="s">
        <v>1526</v>
      </c>
      <c r="D273" s="32" t="s">
        <v>257</v>
      </c>
      <c r="E273" s="38" t="str">
        <f>HYPERLINK("https://www.facebook.com/hokkaido.good.toy","https://www.facebook.com/hokkaido.good.toy")</f>
        <v>https://www.facebook.com/hokkaido.good.toy</v>
      </c>
      <c r="F273" s="34" t="s">
        <v>335</v>
      </c>
      <c r="G273" s="34" t="s">
        <v>335</v>
      </c>
      <c r="H273" s="32" t="s">
        <v>1527</v>
      </c>
      <c r="I273" s="32" t="s">
        <v>1528</v>
      </c>
      <c r="J273" s="32" t="s">
        <v>1529</v>
      </c>
      <c r="K273" s="35"/>
      <c r="L273" s="35" t="s">
        <v>37</v>
      </c>
      <c r="M273" s="35"/>
      <c r="N273" s="35"/>
      <c r="O273" s="35"/>
      <c r="P273" s="35" t="s">
        <v>37</v>
      </c>
      <c r="Q273" s="35" t="s">
        <v>37</v>
      </c>
      <c r="R273" s="35"/>
      <c r="S273" s="35"/>
      <c r="T273" s="35" t="s">
        <v>37</v>
      </c>
      <c r="U273" s="35"/>
      <c r="V273" s="35"/>
      <c r="W273" s="35" t="s">
        <v>37</v>
      </c>
      <c r="X273" s="35"/>
      <c r="Y273" s="35"/>
      <c r="Z273" s="35"/>
      <c r="AA273" s="35"/>
      <c r="AB273" s="35"/>
      <c r="AC273" s="35"/>
    </row>
    <row r="274" spans="1:29" ht="54">
      <c r="A274" s="36">
        <v>816</v>
      </c>
      <c r="B274" s="37" t="str">
        <f>HYPERLINK("\\intranet-fs4\市）地域振興部\14市民自治推進室\06  市民活動\◎助成・積立・取崩（基金）\00：起案：団体登録\団体情報一覧\団体概要書（更新ごと最新に）pdf\816_prof.pdf","清田区民コンサート実行委員会")</f>
        <v>清田区民コンサート実行委員会</v>
      </c>
      <c r="C274" s="32" t="s">
        <v>1530</v>
      </c>
      <c r="D274" s="32" t="s">
        <v>1531</v>
      </c>
      <c r="E274" s="41"/>
      <c r="F274" s="34" t="s">
        <v>533</v>
      </c>
      <c r="G274" s="34" t="s">
        <v>533</v>
      </c>
      <c r="H274" s="32" t="s">
        <v>1532</v>
      </c>
      <c r="I274" s="32" t="s">
        <v>1533</v>
      </c>
      <c r="J274" s="32" t="s">
        <v>1534</v>
      </c>
      <c r="K274" s="35"/>
      <c r="L274" s="35"/>
      <c r="M274" s="35" t="s">
        <v>37</v>
      </c>
      <c r="N274" s="35"/>
      <c r="O274" s="35"/>
      <c r="P274" s="35" t="s">
        <v>37</v>
      </c>
      <c r="Q274" s="35"/>
      <c r="R274" s="35"/>
      <c r="S274" s="35"/>
      <c r="T274" s="35"/>
      <c r="U274" s="35"/>
      <c r="V274" s="35"/>
      <c r="W274" s="35"/>
      <c r="X274" s="35"/>
      <c r="Y274" s="35"/>
      <c r="Z274" s="35"/>
      <c r="AA274" s="35"/>
      <c r="AB274" s="35"/>
      <c r="AC274" s="35"/>
    </row>
    <row r="275" spans="1:29" ht="94.5">
      <c r="A275" s="36">
        <v>817</v>
      </c>
      <c r="B275" s="37" t="str">
        <f>HYPERLINK("\\intranet-fs4\市）地域振興部\14市民自治推進室\06  市民活動\◎助成・積立・取崩（基金）\00：起案：団体登録\団体情報一覧\団体概要書（更新ごと最新に）pdf\817_prof.pdf","i-vent")</f>
        <v>i-vent</v>
      </c>
      <c r="C275" s="32" t="s">
        <v>1535</v>
      </c>
      <c r="D275" s="32" t="s">
        <v>79</v>
      </c>
      <c r="E275" s="41"/>
      <c r="F275" s="34" t="s">
        <v>1536</v>
      </c>
      <c r="G275" s="34" t="s">
        <v>1536</v>
      </c>
      <c r="H275" s="32" t="s">
        <v>1537</v>
      </c>
      <c r="I275" s="32" t="s">
        <v>1538</v>
      </c>
      <c r="J275" s="32" t="s">
        <v>1539</v>
      </c>
      <c r="K275" s="35"/>
      <c r="L275" s="35" t="s">
        <v>37</v>
      </c>
      <c r="M275" s="35" t="s">
        <v>37</v>
      </c>
      <c r="N275" s="35"/>
      <c r="O275" s="35"/>
      <c r="P275" s="35"/>
      <c r="Q275" s="35"/>
      <c r="R275" s="35"/>
      <c r="S275" s="35"/>
      <c r="T275" s="35"/>
      <c r="U275" s="35"/>
      <c r="V275" s="35"/>
      <c r="W275" s="35"/>
      <c r="X275" s="35"/>
      <c r="Y275" s="35"/>
      <c r="Z275" s="35"/>
      <c r="AA275" s="35"/>
      <c r="AB275" s="35"/>
      <c r="AC275" s="35"/>
    </row>
    <row r="276" spans="1:29" ht="135">
      <c r="A276" s="36">
        <v>818</v>
      </c>
      <c r="B276" s="37" t="str">
        <f>HYPERLINK("\\intranet-fs4\市）地域振興部\14市民自治推進室\06  市民活動\◎助成・積立・取崩（基金）\00：起案：団体登録\団体情報一覧\団体概要書（更新ごと最新に）pdf\818_prof.pdf","北海道FIDバスケットボール連盟")</f>
        <v>北海道FIDバスケットボール連盟</v>
      </c>
      <c r="C276" s="32" t="s">
        <v>1540</v>
      </c>
      <c r="D276" s="32" t="s">
        <v>79</v>
      </c>
      <c r="E276" s="33" t="str">
        <f>HYPERLINK("https://hokkaido-fid-basketball.jimdofree.com","https://hokkaido-fid-basketball.jimdofree.com")</f>
        <v>https://hokkaido-fid-basketball.jimdofree.com</v>
      </c>
      <c r="F276" s="34" t="s">
        <v>87</v>
      </c>
      <c r="G276" s="34" t="s">
        <v>87</v>
      </c>
      <c r="H276" s="32" t="s">
        <v>1541</v>
      </c>
      <c r="I276" s="32" t="s">
        <v>1542</v>
      </c>
      <c r="J276" s="32" t="s">
        <v>1543</v>
      </c>
      <c r="K276" s="35" t="s">
        <v>37</v>
      </c>
      <c r="L276" s="35" t="s">
        <v>37</v>
      </c>
      <c r="M276" s="35"/>
      <c r="N276" s="35"/>
      <c r="O276" s="35"/>
      <c r="P276" s="35" t="s">
        <v>37</v>
      </c>
      <c r="Q276" s="35"/>
      <c r="R276" s="35"/>
      <c r="S276" s="35"/>
      <c r="T276" s="35"/>
      <c r="U276" s="35"/>
      <c r="V276" s="35"/>
      <c r="W276" s="35"/>
      <c r="X276" s="35"/>
      <c r="Y276" s="35"/>
      <c r="Z276" s="35"/>
      <c r="AA276" s="35"/>
      <c r="AB276" s="35"/>
      <c r="AC276" s="35" t="s">
        <v>37</v>
      </c>
    </row>
    <row r="277" spans="1:29" ht="108">
      <c r="A277" s="36">
        <v>819</v>
      </c>
      <c r="B277" s="37" t="str">
        <f>HYPERLINK("\\intranet-fs4\市）地域振興部\14市民自治推進室\06  市民活動\◎助成・積立・取崩（基金）\00：起案：団体登録\団体情報一覧\団体概要書（更新ごと最新に）pdf\819_prof.pdf","こころの公園製作委員会")</f>
        <v>こころの公園製作委員会</v>
      </c>
      <c r="C277" s="32" t="s">
        <v>1544</v>
      </c>
      <c r="D277" s="32" t="s">
        <v>1545</v>
      </c>
      <c r="E277" s="41"/>
      <c r="F277" s="34" t="s">
        <v>432</v>
      </c>
      <c r="G277" s="34" t="s">
        <v>598</v>
      </c>
      <c r="H277" s="32" t="s">
        <v>1546</v>
      </c>
      <c r="I277" s="32" t="s">
        <v>1547</v>
      </c>
      <c r="J277" s="32" t="s">
        <v>1548</v>
      </c>
      <c r="K277" s="35"/>
      <c r="L277" s="35"/>
      <c r="M277" s="35"/>
      <c r="N277" s="35"/>
      <c r="O277" s="35"/>
      <c r="P277" s="35"/>
      <c r="Q277" s="35"/>
      <c r="R277" s="35"/>
      <c r="S277" s="35"/>
      <c r="T277" s="35"/>
      <c r="U277" s="35"/>
      <c r="V277" s="35"/>
      <c r="W277" s="35" t="s">
        <v>37</v>
      </c>
      <c r="X277" s="35"/>
      <c r="Y277" s="35"/>
      <c r="Z277" s="35"/>
      <c r="AA277" s="35"/>
      <c r="AB277" s="35"/>
      <c r="AC277" s="35"/>
    </row>
    <row r="278" spans="1:29" ht="108">
      <c r="A278" s="36">
        <v>820</v>
      </c>
      <c r="B278" s="37" t="str">
        <f>HYPERLINK("\\intranet-fs4\市）地域振興部\14市民自治推進室\06  市民活動\◎助成・積立・取崩（基金）\00：起案：団体登録\団体情報一覧\団体概要書（更新ごと最新に）pdf\820_prof.pdf","Veitu（ヴェイツ）石狩")</f>
        <v>Veitu（ヴェイツ）石狩</v>
      </c>
      <c r="C278" s="32" t="s">
        <v>1549</v>
      </c>
      <c r="D278" s="32" t="s">
        <v>1550</v>
      </c>
      <c r="E278" s="33" t="str">
        <f>HYPERLINK("https://peraichi.com/landing_pages/view/cmsv1?_gl=1*1hogw3j*_gcl_au*MTI2OTI5NDMxNi4xNzA2NDg4ODQ0&amp;_ga=","https://peraichi.com/landing_pages/view/cmsv1?_gl=1*1hogw3j*_gcl_au*MTI2OTI5NDMxNi4xNzA2NDg4ODQ0&amp;_ga=")</f>
        <v>https://peraichi.com/landing_pages/view/cmsv1?_gl=1*1hogw3j*_gcl_au*MTI2OTI5NDMxNi4xNzA2NDg4ODQ0&amp;_ga=</v>
      </c>
      <c r="F278" s="34" t="s">
        <v>1153</v>
      </c>
      <c r="G278" s="34" t="s">
        <v>1153</v>
      </c>
      <c r="H278" s="32" t="s">
        <v>1551</v>
      </c>
      <c r="I278" s="32" t="s">
        <v>1552</v>
      </c>
      <c r="J278" s="32" t="s">
        <v>1553</v>
      </c>
      <c r="K278" s="35"/>
      <c r="L278" s="35" t="s">
        <v>37</v>
      </c>
      <c r="M278" s="35" t="s">
        <v>37</v>
      </c>
      <c r="N278" s="35"/>
      <c r="O278" s="35"/>
      <c r="P278" s="35" t="s">
        <v>37</v>
      </c>
      <c r="Q278" s="35"/>
      <c r="R278" s="35"/>
      <c r="S278" s="35"/>
      <c r="T278" s="35"/>
      <c r="U278" s="35"/>
      <c r="V278" s="35"/>
      <c r="W278" s="35" t="s">
        <v>37</v>
      </c>
      <c r="X278" s="35"/>
      <c r="Y278" s="35"/>
      <c r="Z278" s="35"/>
      <c r="AA278" s="35"/>
      <c r="AB278" s="35"/>
      <c r="AC278" s="35"/>
    </row>
    <row r="279" spans="1:29" ht="409.5">
      <c r="A279" s="36">
        <v>821</v>
      </c>
      <c r="B279" s="37" t="str">
        <f>HYPERLINK("\\intranet-fs4\市）地域振興部\14市民自治推進室\06  市民活動\◎助成・積立・取崩（基金）\00：起案：団体登録\団体情報一覧\団体概要書（更新ごと最新に）pdf\821_prof.pdf","特定非営利活動法人ライラック音楽協会")</f>
        <v>特定非営利活動法人ライラック音楽協会</v>
      </c>
      <c r="C279" s="32" t="s">
        <v>1554</v>
      </c>
      <c r="D279" s="32" t="s">
        <v>257</v>
      </c>
      <c r="E279" s="38" t="str">
        <f>HYPERLINK("https://lilla-musica.org","https://lilla-musica.org")</f>
        <v>https://lilla-musica.org</v>
      </c>
      <c r="F279" s="34" t="s">
        <v>1555</v>
      </c>
      <c r="G279" s="34" t="s">
        <v>1555</v>
      </c>
      <c r="H279" s="32" t="s">
        <v>1556</v>
      </c>
      <c r="I279" s="32" t="s">
        <v>1557</v>
      </c>
      <c r="J279" s="32" t="s">
        <v>1558</v>
      </c>
      <c r="K279" s="35" t="s">
        <v>37</v>
      </c>
      <c r="L279" s="35" t="s">
        <v>37</v>
      </c>
      <c r="M279" s="35"/>
      <c r="N279" s="35"/>
      <c r="O279" s="35"/>
      <c r="P279" s="35" t="s">
        <v>37</v>
      </c>
      <c r="Q279" s="35"/>
      <c r="R279" s="35"/>
      <c r="S279" s="35"/>
      <c r="T279" s="35"/>
      <c r="U279" s="35"/>
      <c r="V279" s="35"/>
      <c r="W279" s="35" t="s">
        <v>37</v>
      </c>
      <c r="X279" s="35"/>
      <c r="Y279" s="35"/>
      <c r="Z279" s="35"/>
      <c r="AA279" s="35"/>
      <c r="AB279" s="35"/>
      <c r="AC279" s="35" t="s">
        <v>37</v>
      </c>
    </row>
    <row r="280" spans="1:29" ht="135">
      <c r="A280" s="36">
        <v>822</v>
      </c>
      <c r="B280" s="37" t="str">
        <f>HYPERLINK("\\intranet-fs4\市）地域振興部\14市民自治推進室\06  市民活動\◎助成・積立・取崩（基金）\00：起案：団体登録\団体情報一覧\団体概要書（更新ごと最新に）pdf\822_prof.pdf","特定非営利活動法人 札幌微助人倶楽部")</f>
        <v>特定非営利活動法人 札幌微助人倶楽部</v>
      </c>
      <c r="C280" s="32" t="s">
        <v>1559</v>
      </c>
      <c r="D280" s="32" t="s">
        <v>257</v>
      </c>
      <c r="E280" s="33" t="str">
        <f>HYPERLINK("https://www.sapporo-biscuit.or.jp/","https://www.sapporo-biscuit.or.jp/")</f>
        <v>https://www.sapporo-biscuit.or.jp/</v>
      </c>
      <c r="F280" s="34" t="s">
        <v>1560</v>
      </c>
      <c r="G280" s="34" t="s">
        <v>1560</v>
      </c>
      <c r="H280" s="32" t="s">
        <v>1561</v>
      </c>
      <c r="I280" s="32" t="s">
        <v>1562</v>
      </c>
      <c r="J280" s="32" t="s">
        <v>1563</v>
      </c>
      <c r="K280" s="35" t="s">
        <v>37</v>
      </c>
      <c r="L280" s="35"/>
      <c r="M280" s="35"/>
      <c r="N280" s="35"/>
      <c r="O280" s="35"/>
      <c r="P280" s="35"/>
      <c r="Q280" s="35"/>
      <c r="R280" s="35"/>
      <c r="S280" s="35"/>
      <c r="T280" s="35"/>
      <c r="U280" s="35"/>
      <c r="V280" s="35"/>
      <c r="W280" s="35"/>
      <c r="X280" s="35"/>
      <c r="Y280" s="35"/>
      <c r="Z280" s="35"/>
      <c r="AA280" s="35"/>
      <c r="AB280" s="35"/>
      <c r="AC280" s="35"/>
    </row>
    <row r="281" spans="1:29" ht="162">
      <c r="A281" s="36">
        <v>823</v>
      </c>
      <c r="B281" s="37" t="str">
        <f>HYPERLINK("\\intranet-fs4\市）地域振興部\14市民自治推進室\06  市民活動\◎助成・積立・取崩（基金）\00：起案：団体登録\団体情報一覧\団体概要書（更新ごと最新に）pdf\823_prof.pdf","東白石地区町内会連合会")</f>
        <v>東白石地区町内会連合会</v>
      </c>
      <c r="C281" s="32" t="s">
        <v>1564</v>
      </c>
      <c r="D281" s="32" t="s">
        <v>1565</v>
      </c>
      <c r="E281" s="41"/>
      <c r="F281" s="34" t="s">
        <v>1566</v>
      </c>
      <c r="G281" s="34" t="s">
        <v>1566</v>
      </c>
      <c r="H281" s="32" t="s">
        <v>1567</v>
      </c>
      <c r="I281" s="32" t="s">
        <v>1568</v>
      </c>
      <c r="J281" s="32" t="s">
        <v>1569</v>
      </c>
      <c r="K281" s="35" t="s">
        <v>37</v>
      </c>
      <c r="L281" s="35"/>
      <c r="M281" s="35"/>
      <c r="N281" s="35"/>
      <c r="O281" s="35"/>
      <c r="P281" s="35"/>
      <c r="Q281" s="35" t="s">
        <v>37</v>
      </c>
      <c r="R281" s="35" t="s">
        <v>37</v>
      </c>
      <c r="S281" s="35" t="s">
        <v>37</v>
      </c>
      <c r="T281" s="35"/>
      <c r="U281" s="35"/>
      <c r="V281" s="35"/>
      <c r="W281" s="35" t="s">
        <v>37</v>
      </c>
      <c r="X281" s="35"/>
      <c r="Y281" s="35"/>
      <c r="Z281" s="35"/>
      <c r="AA281" s="35"/>
      <c r="AB281" s="35"/>
      <c r="AC281" s="35" t="s">
        <v>37</v>
      </c>
    </row>
    <row r="282" spans="1:29" ht="94.5">
      <c r="A282" s="36">
        <v>824</v>
      </c>
      <c r="B282" s="37" t="str">
        <f>HYPERLINK("\\intranet-fs4\市）地域振興部\14市民自治推進室\06  市民活動\◎助成・積立・取崩（基金）\00：起案：団体登録\団体情報一覧\団体概要書（更新ごと最新に）pdf\824_prof.pdf","ポケット企画")</f>
        <v>ポケット企画</v>
      </c>
      <c r="C282" s="32" t="s">
        <v>1570</v>
      </c>
      <c r="D282" s="32" t="s">
        <v>1571</v>
      </c>
      <c r="E282" s="33" t="str">
        <f>HYPERLINK("https://pocket-kikaku.com/","https://pocket-kikaku.com/")</f>
        <v>https://pocket-kikaku.com/</v>
      </c>
      <c r="F282" s="34" t="s">
        <v>1572</v>
      </c>
      <c r="G282" s="34" t="s">
        <v>1573</v>
      </c>
      <c r="H282" s="32" t="s">
        <v>1574</v>
      </c>
      <c r="I282" s="32" t="s">
        <v>1575</v>
      </c>
      <c r="J282" s="32" t="s">
        <v>1576</v>
      </c>
      <c r="K282" s="35"/>
      <c r="L282" s="35"/>
      <c r="M282" s="35" t="s">
        <v>37</v>
      </c>
      <c r="N282" s="35" t="s">
        <v>37</v>
      </c>
      <c r="O282" s="35"/>
      <c r="P282" s="35" t="s">
        <v>37</v>
      </c>
      <c r="Q282" s="35"/>
      <c r="R282" s="35"/>
      <c r="S282" s="35"/>
      <c r="T282" s="35"/>
      <c r="U282" s="35"/>
      <c r="V282" s="35"/>
      <c r="W282" s="35"/>
      <c r="X282" s="35"/>
      <c r="Y282" s="35"/>
      <c r="Z282" s="35"/>
      <c r="AA282" s="35"/>
      <c r="AB282" s="35"/>
      <c r="AC282" s="35" t="s">
        <v>37</v>
      </c>
    </row>
    <row r="283" spans="1:29" ht="216">
      <c r="A283" s="36">
        <v>825</v>
      </c>
      <c r="B283" s="37" t="str">
        <f>HYPERLINK("\\intranet-fs4\市）地域振興部\14市民自治推進室\06  市民活動\◎助成・積立・取崩（基金）\00：起案：団体登録\団体情報一覧\団体概要書（更新ごと最新に）pdf\825_prof.pdf","東白石まちづくり実践会")</f>
        <v>東白石まちづくり実践会</v>
      </c>
      <c r="C283" s="32" t="s">
        <v>1564</v>
      </c>
      <c r="D283" s="32" t="s">
        <v>1565</v>
      </c>
      <c r="E283" s="41"/>
      <c r="F283" s="34" t="s">
        <v>251</v>
      </c>
      <c r="G283" s="34" t="s">
        <v>251</v>
      </c>
      <c r="H283" s="32" t="s">
        <v>1577</v>
      </c>
      <c r="I283" s="32" t="s">
        <v>1578</v>
      </c>
      <c r="J283" s="32" t="s">
        <v>1579</v>
      </c>
      <c r="K283" s="35" t="s">
        <v>37</v>
      </c>
      <c r="L283" s="35" t="s">
        <v>37</v>
      </c>
      <c r="M283" s="35" t="s">
        <v>37</v>
      </c>
      <c r="N283" s="35"/>
      <c r="O283" s="35"/>
      <c r="P283" s="35"/>
      <c r="Q283" s="35"/>
      <c r="R283" s="35"/>
      <c r="S283" s="35" t="s">
        <v>37</v>
      </c>
      <c r="T283" s="35"/>
      <c r="U283" s="35"/>
      <c r="V283" s="35"/>
      <c r="W283" s="35" t="s">
        <v>37</v>
      </c>
      <c r="X283" s="35"/>
      <c r="Y283" s="35"/>
      <c r="Z283" s="35"/>
      <c r="AA283" s="35"/>
      <c r="AB283" s="35"/>
      <c r="AC283" s="35" t="s">
        <v>37</v>
      </c>
    </row>
    <row r="284" spans="1:29" ht="310.5">
      <c r="A284" s="36">
        <v>826</v>
      </c>
      <c r="B284" s="37" t="str">
        <f>HYPERLINK("\\intranet-fs4\市）地域振興部\14市民自治推進室\06  市民活動\◎助成・積立・取崩（基金）\00：起案：団体登録\団体情報一覧\団体概要書（更新ごと最新に）pdf\826_prof.pdf","オール・モーリヤ")</f>
        <v>オール・モーリヤ</v>
      </c>
      <c r="C284" s="32" t="s">
        <v>1580</v>
      </c>
      <c r="D284" s="32" t="s">
        <v>1581</v>
      </c>
      <c r="E284" s="41"/>
      <c r="F284" s="34" t="s">
        <v>1582</v>
      </c>
      <c r="G284" s="34" t="s">
        <v>1582</v>
      </c>
      <c r="H284" s="32" t="s">
        <v>1583</v>
      </c>
      <c r="I284" s="32" t="s">
        <v>1584</v>
      </c>
      <c r="J284" s="32" t="s">
        <v>1585</v>
      </c>
      <c r="K284" s="35"/>
      <c r="L284" s="35"/>
      <c r="M284" s="35"/>
      <c r="N284" s="35"/>
      <c r="O284" s="35"/>
      <c r="P284" s="35" t="s">
        <v>37</v>
      </c>
      <c r="Q284" s="35"/>
      <c r="R284" s="35"/>
      <c r="S284" s="35"/>
      <c r="T284" s="35"/>
      <c r="U284" s="35"/>
      <c r="V284" s="35"/>
      <c r="W284" s="35"/>
      <c r="X284" s="35"/>
      <c r="Y284" s="35"/>
      <c r="Z284" s="35"/>
      <c r="AA284" s="35"/>
      <c r="AB284" s="35"/>
      <c r="AC284" s="35"/>
    </row>
    <row r="285" spans="1:29" ht="108">
      <c r="A285" s="36">
        <v>827</v>
      </c>
      <c r="B285" s="37" t="str">
        <f>HYPERLINK("\\intranet-fs4\市）地域振興部\14市民自治推進室\06  市民活動\◎助成・積立・取崩（基金）\00：起案：団体登録\団体情報一覧\団体概要書（更新ごと最新に）pdf\827_prof.pdf","ママの輪")</f>
        <v>ママの輪</v>
      </c>
      <c r="C285" s="32" t="s">
        <v>1586</v>
      </c>
      <c r="D285" s="32" t="s">
        <v>1587</v>
      </c>
      <c r="E285" s="41"/>
      <c r="F285" s="34" t="s">
        <v>1588</v>
      </c>
      <c r="G285" s="34" t="s">
        <v>1588</v>
      </c>
      <c r="H285" s="32" t="s">
        <v>1589</v>
      </c>
      <c r="I285" s="32" t="s">
        <v>1590</v>
      </c>
      <c r="J285" s="32" t="s">
        <v>1591</v>
      </c>
      <c r="K285" s="35"/>
      <c r="L285" s="35"/>
      <c r="M285" s="35"/>
      <c r="N285" s="35"/>
      <c r="O285" s="35"/>
      <c r="P285" s="35"/>
      <c r="Q285" s="35"/>
      <c r="R285" s="35"/>
      <c r="S285" s="35"/>
      <c r="T285" s="35"/>
      <c r="U285" s="35"/>
      <c r="V285" s="35"/>
      <c r="W285" s="35" t="s">
        <v>37</v>
      </c>
      <c r="X285" s="35"/>
      <c r="Y285" s="35"/>
      <c r="Z285" s="35"/>
      <c r="AA285" s="35"/>
      <c r="AB285" s="35"/>
      <c r="AC285" s="35"/>
    </row>
    <row r="286" spans="1:29" ht="121.5">
      <c r="A286" s="36">
        <v>828</v>
      </c>
      <c r="B286" s="37" t="str">
        <f>HYPERLINK("\\intranet-fs4\市）地域振興部\14市民自治推進室\06  市民活動\◎助成・積立・取崩（基金）\00：起案：団体登録\団体情報一覧\団体概要書（更新ごと最新に）pdf\828_prof.pdf","特定非営利活動法人ＳＥＴＢ")</f>
        <v>特定非営利活動法人ＳＥＴＢ</v>
      </c>
      <c r="C286" s="32" t="s">
        <v>1592</v>
      </c>
      <c r="D286" s="32" t="s">
        <v>115</v>
      </c>
      <c r="E286" s="33" t="str">
        <f>HYPERLINK("https://setb.jp/","https://setb.jp/")</f>
        <v>https://setb.jp/</v>
      </c>
      <c r="F286" s="34" t="s">
        <v>1593</v>
      </c>
      <c r="G286" s="34" t="s">
        <v>1148</v>
      </c>
      <c r="H286" s="32" t="s">
        <v>1594</v>
      </c>
      <c r="I286" s="32" t="s">
        <v>1595</v>
      </c>
      <c r="J286" s="32" t="s">
        <v>1596</v>
      </c>
      <c r="K286" s="35"/>
      <c r="L286" s="35" t="s">
        <v>37</v>
      </c>
      <c r="M286" s="35"/>
      <c r="N286" s="35"/>
      <c r="O286" s="35"/>
      <c r="P286" s="35" t="s">
        <v>37</v>
      </c>
      <c r="Q286" s="35"/>
      <c r="R286" s="35"/>
      <c r="S286" s="35"/>
      <c r="T286" s="35"/>
      <c r="U286" s="35"/>
      <c r="V286" s="35"/>
      <c r="W286" s="35" t="s">
        <v>37</v>
      </c>
      <c r="X286" s="35" t="s">
        <v>37</v>
      </c>
      <c r="Y286" s="35" t="s">
        <v>37</v>
      </c>
      <c r="Z286" s="35"/>
      <c r="AA286" s="35"/>
      <c r="AB286" s="35"/>
      <c r="AC286" s="35" t="s">
        <v>37</v>
      </c>
    </row>
    <row r="287" spans="1:29" ht="121.5">
      <c r="A287" s="36">
        <v>829</v>
      </c>
      <c r="B287" s="37" t="str">
        <f>HYPERLINK("\\intranet-fs4\市）地域振興部\14市民自治推進室\06  市民活動\◎助成・積立・取崩（基金）\00：起案：団体登録\団体情報一覧\団体概要書（更新ごと最新に）pdf\829_prof.pdf","一般社団法人　フードバンクセンター")</f>
        <v>一般社団法人　フードバンクセンター</v>
      </c>
      <c r="C287" s="32" t="s">
        <v>1597</v>
      </c>
      <c r="D287" s="32"/>
      <c r="E287" s="33" t="str">
        <f>HYPERLINK("https://foodbankcenter.info/","https://foodbankcenter.info/")</f>
        <v>https://foodbankcenter.info/</v>
      </c>
      <c r="F287" s="34" t="s">
        <v>1598</v>
      </c>
      <c r="G287" s="34" t="s">
        <v>1598</v>
      </c>
      <c r="H287" s="32" t="s">
        <v>1599</v>
      </c>
      <c r="I287" s="32" t="s">
        <v>1600</v>
      </c>
      <c r="J287" s="32" t="s">
        <v>1601</v>
      </c>
      <c r="K287" s="35" t="s">
        <v>37</v>
      </c>
      <c r="L287" s="35" t="s">
        <v>37</v>
      </c>
      <c r="M287" s="35" t="s">
        <v>37</v>
      </c>
      <c r="N287" s="35"/>
      <c r="O287" s="35" t="s">
        <v>37</v>
      </c>
      <c r="P287" s="35"/>
      <c r="Q287" s="35" t="s">
        <v>37</v>
      </c>
      <c r="R287" s="35" t="s">
        <v>37</v>
      </c>
      <c r="S287" s="35" t="s">
        <v>37</v>
      </c>
      <c r="T287" s="35"/>
      <c r="U287" s="35"/>
      <c r="V287" s="35" t="s">
        <v>37</v>
      </c>
      <c r="W287" s="35" t="s">
        <v>37</v>
      </c>
      <c r="X287" s="35" t="s">
        <v>37</v>
      </c>
      <c r="Y287" s="35"/>
      <c r="Z287" s="35" t="s">
        <v>37</v>
      </c>
      <c r="AA287" s="35" t="s">
        <v>37</v>
      </c>
      <c r="AB287" s="35"/>
      <c r="AC287" s="35" t="s">
        <v>37</v>
      </c>
    </row>
    <row r="288" spans="1:29" ht="135">
      <c r="A288" s="36">
        <v>830</v>
      </c>
      <c r="B288" s="37" t="str">
        <f>HYPERLINK("\\intranet-fs4\市）地域振興部\14市民自治推進室\06  市民活動\◎助成・積立・取崩（基金）\00：起案：団体登録\団体情報一覧\団体概要書（更新ごと最新に）pdf\830_prof.pdf","一般社団法人まちづくり篠路")</f>
        <v>一般社団法人まちづくり篠路</v>
      </c>
      <c r="C288" s="32" t="s">
        <v>1602</v>
      </c>
      <c r="D288" s="32"/>
      <c r="E288" s="38" t="str">
        <f>HYPERLINK("https://www.instagram.com/machi.shinoro","https://www.instagram.com/machi.shinoro")</f>
        <v>https://www.instagram.com/machi.shinoro</v>
      </c>
      <c r="F288" s="34" t="s">
        <v>1603</v>
      </c>
      <c r="G288" s="34" t="s">
        <v>1604</v>
      </c>
      <c r="H288" s="32" t="s">
        <v>1605</v>
      </c>
      <c r="I288" s="32" t="s">
        <v>1606</v>
      </c>
      <c r="J288" s="32" t="s">
        <v>1607</v>
      </c>
      <c r="K288" s="35"/>
      <c r="L288" s="35" t="s">
        <v>37</v>
      </c>
      <c r="M288" s="35" t="s">
        <v>37</v>
      </c>
      <c r="N288" s="35"/>
      <c r="O288" s="35"/>
      <c r="P288" s="35" t="s">
        <v>37</v>
      </c>
      <c r="Q288" s="35"/>
      <c r="R288" s="35"/>
      <c r="S288" s="35" t="s">
        <v>37</v>
      </c>
      <c r="T288" s="35"/>
      <c r="U288" s="35"/>
      <c r="V288" s="35"/>
      <c r="W288" s="35" t="s">
        <v>37</v>
      </c>
      <c r="X288" s="35"/>
      <c r="Y288" s="35"/>
      <c r="Z288" s="35" t="s">
        <v>37</v>
      </c>
      <c r="AA288" s="35"/>
      <c r="AB288" s="35"/>
      <c r="AC288" s="35"/>
    </row>
    <row r="289" spans="1:29" ht="108">
      <c r="A289" s="36">
        <v>831</v>
      </c>
      <c r="B289" s="37" t="str">
        <f>HYPERLINK("\\intranet-fs4\市）地域振興部\14市民自治推進室\06  市民活動\◎助成・積立・取崩（基金）\00：起案：団体登録\団体情報一覧\団体概要書（更新ごと最新に）pdf\831_prof.pdf","特定非営利活動法人きたのわ")</f>
        <v>特定非営利活動法人きたのわ</v>
      </c>
      <c r="C289" s="32" t="s">
        <v>1608</v>
      </c>
      <c r="D289" s="32" t="s">
        <v>430</v>
      </c>
      <c r="E289" s="33" t="str">
        <f>HYPERLINK("https://kitanowa.net/","https://kitanowa.net/")</f>
        <v>https://kitanowa.net/</v>
      </c>
      <c r="F289" s="34" t="s">
        <v>943</v>
      </c>
      <c r="G289" s="34" t="s">
        <v>294</v>
      </c>
      <c r="H289" s="32" t="s">
        <v>1609</v>
      </c>
      <c r="I289" s="32" t="s">
        <v>1610</v>
      </c>
      <c r="J289" s="32" t="s">
        <v>1611</v>
      </c>
      <c r="K289" s="35"/>
      <c r="L289" s="35" t="s">
        <v>37</v>
      </c>
      <c r="M289" s="35" t="s">
        <v>37</v>
      </c>
      <c r="N289" s="35"/>
      <c r="O289" s="35"/>
      <c r="P289" s="35"/>
      <c r="Q289" s="35"/>
      <c r="R289" s="35"/>
      <c r="S289" s="35"/>
      <c r="T289" s="35" t="s">
        <v>37</v>
      </c>
      <c r="U289" s="35"/>
      <c r="V289" s="35" t="s">
        <v>37</v>
      </c>
      <c r="W289" s="35" t="s">
        <v>37</v>
      </c>
      <c r="X289" s="35"/>
      <c r="Y289" s="35"/>
      <c r="Z289" s="35"/>
      <c r="AA289" s="35" t="s">
        <v>37</v>
      </c>
      <c r="AB289" s="35"/>
      <c r="AC289" s="35" t="s">
        <v>37</v>
      </c>
    </row>
    <row r="290" spans="1:29" ht="364.5">
      <c r="A290" s="36">
        <v>832</v>
      </c>
      <c r="B290" s="37" t="str">
        <f>HYPERLINK("\\intranet-fs4\市）地域振興部\14市民自治推進室\06  市民活動\◎助成・積立・取崩（基金）\00：起案：団体登録\団体情報一覧\団体概要書（更新ごと最新に）pdf\832_prof.pdf","琴似屯田兵入村150周年記念事業実行委員会")</f>
        <v>琴似屯田兵入村150周年記念事業実行委員会</v>
      </c>
      <c r="C290" s="32" t="s">
        <v>1612</v>
      </c>
      <c r="D290" s="32" t="s">
        <v>1613</v>
      </c>
      <c r="E290" s="41"/>
      <c r="F290" s="34" t="s">
        <v>1614</v>
      </c>
      <c r="G290" s="34" t="s">
        <v>1614</v>
      </c>
      <c r="H290" s="32" t="s">
        <v>1615</v>
      </c>
      <c r="I290" s="32" t="s">
        <v>1616</v>
      </c>
      <c r="J290" s="32" t="s">
        <v>1617</v>
      </c>
      <c r="K290" s="35"/>
      <c r="L290" s="35" t="s">
        <v>37</v>
      </c>
      <c r="M290" s="35" t="s">
        <v>37</v>
      </c>
      <c r="N290" s="35" t="s">
        <v>37</v>
      </c>
      <c r="O290" s="35"/>
      <c r="P290" s="35" t="s">
        <v>37</v>
      </c>
      <c r="Q290" s="35"/>
      <c r="R290" s="35"/>
      <c r="S290" s="35"/>
      <c r="T290" s="35"/>
      <c r="U290" s="35"/>
      <c r="V290" s="35"/>
      <c r="W290" s="35" t="s">
        <v>37</v>
      </c>
      <c r="X290" s="35"/>
      <c r="Y290" s="35"/>
      <c r="Z290" s="35" t="s">
        <v>37</v>
      </c>
      <c r="AA290" s="35"/>
      <c r="AB290" s="35"/>
      <c r="AC290" s="35"/>
    </row>
    <row r="291" spans="1:29" ht="81">
      <c r="A291" s="36">
        <v>833</v>
      </c>
      <c r="B291" s="37" t="str">
        <f>HYPERLINK("\\intranet-fs4\市）地域振興部\14市民自治推進室\06  市民活動\◎助成・積立・取崩（基金）\00：起案：団体登録\団体情報一覧\団体概要書（更新ごと最新に）pdf\833_prof.pdf","豊平区民センターダンスサークル")</f>
        <v>豊平区民センターダンスサークル</v>
      </c>
      <c r="C291" s="32" t="s">
        <v>1618</v>
      </c>
      <c r="D291" s="32" t="s">
        <v>1619</v>
      </c>
      <c r="E291" s="41"/>
      <c r="F291" s="34" t="s">
        <v>1620</v>
      </c>
      <c r="G291" s="34" t="s">
        <v>1620</v>
      </c>
      <c r="H291" s="32" t="s">
        <v>1621</v>
      </c>
      <c r="I291" s="32" t="s">
        <v>1622</v>
      </c>
      <c r="J291" s="32" t="s">
        <v>1623</v>
      </c>
      <c r="K291" s="35"/>
      <c r="L291" s="35"/>
      <c r="M291" s="35"/>
      <c r="N291" s="35"/>
      <c r="O291" s="35"/>
      <c r="P291" s="35" t="s">
        <v>37</v>
      </c>
      <c r="Q291" s="35"/>
      <c r="R291" s="35"/>
      <c r="S291" s="35"/>
      <c r="T291" s="35"/>
      <c r="U291" s="35"/>
      <c r="V291" s="35"/>
      <c r="W291" s="35"/>
      <c r="X291" s="35"/>
      <c r="Y291" s="35"/>
      <c r="Z291" s="35"/>
      <c r="AA291" s="35"/>
      <c r="AB291" s="35"/>
      <c r="AC291" s="35"/>
    </row>
    <row r="292" spans="1:29" ht="148.5">
      <c r="A292" s="36">
        <v>834</v>
      </c>
      <c r="B292" s="37" t="str">
        <f>HYPERLINK("\\intranet-fs4\市）地域振興部\14市民自治推進室\06  市民活動\◎助成・積立・取崩（基金）\00：起案：団体登録\団体情報一覧\団体概要書（更新ごと最新に）pdf\834_prof.pdf","一般社団法人fanfare")</f>
        <v>一般社団法人fanfare</v>
      </c>
      <c r="C292" s="32" t="s">
        <v>1624</v>
      </c>
      <c r="D292" s="32" t="s">
        <v>79</v>
      </c>
      <c r="E292" s="33" t="str">
        <f>HYPERLINK("https://www.fanfare-sapporo.com","https://www.fanfare-sapporo.com")</f>
        <v>https://www.fanfare-sapporo.com</v>
      </c>
      <c r="F292" s="34" t="s">
        <v>1148</v>
      </c>
      <c r="G292" s="34" t="s">
        <v>1148</v>
      </c>
      <c r="H292" s="32" t="s">
        <v>1625</v>
      </c>
      <c r="I292" s="32" t="s">
        <v>1626</v>
      </c>
      <c r="J292" s="32" t="s">
        <v>1627</v>
      </c>
      <c r="K292" s="35" t="s">
        <v>37</v>
      </c>
      <c r="L292" s="35"/>
      <c r="M292" s="35"/>
      <c r="N292" s="35"/>
      <c r="O292" s="35"/>
      <c r="P292" s="35"/>
      <c r="Q292" s="35"/>
      <c r="R292" s="35"/>
      <c r="S292" s="35"/>
      <c r="T292" s="35"/>
      <c r="U292" s="35"/>
      <c r="V292" s="35"/>
      <c r="W292" s="35" t="s">
        <v>37</v>
      </c>
      <c r="X292" s="35"/>
      <c r="Y292" s="35"/>
      <c r="Z292" s="35"/>
      <c r="AA292" s="35"/>
      <c r="AB292" s="35"/>
      <c r="AC292" s="35"/>
    </row>
    <row r="293" spans="1:29" ht="94.5">
      <c r="A293" s="36">
        <v>835</v>
      </c>
      <c r="B293" s="37" t="str">
        <f>HYPERLINK("\\intranet-fs4\市）地域振興部\14市民自治推進室\06  市民活動\◎助成・積立・取崩（基金）\00：起案：団体登録\団体情報一覧\団体概要書（更新ごと最新に）pdf\835_prof.pdf","札幌さつき会")</f>
        <v>札幌さつき会</v>
      </c>
      <c r="C293" s="32" t="s">
        <v>1628</v>
      </c>
      <c r="D293" s="32" t="s">
        <v>79</v>
      </c>
      <c r="E293" s="41"/>
      <c r="F293" s="34" t="s">
        <v>1620</v>
      </c>
      <c r="G293" s="34" t="s">
        <v>1620</v>
      </c>
      <c r="H293" s="32" t="s">
        <v>1629</v>
      </c>
      <c r="I293" s="32" t="s">
        <v>1630</v>
      </c>
      <c r="J293" s="32" t="s">
        <v>1631</v>
      </c>
      <c r="K293" s="35"/>
      <c r="L293" s="35"/>
      <c r="M293" s="35" t="s">
        <v>37</v>
      </c>
      <c r="N293" s="35"/>
      <c r="O293" s="35"/>
      <c r="P293" s="35" t="s">
        <v>37</v>
      </c>
      <c r="Q293" s="35"/>
      <c r="R293" s="35"/>
      <c r="S293" s="35"/>
      <c r="T293" s="35"/>
      <c r="U293" s="35"/>
      <c r="V293" s="35"/>
      <c r="W293" s="35"/>
      <c r="X293" s="35"/>
      <c r="Y293" s="35"/>
      <c r="Z293" s="35"/>
      <c r="AA293" s="35"/>
      <c r="AB293" s="35"/>
      <c r="AC293" s="35"/>
    </row>
    <row r="294" spans="1:29" ht="135">
      <c r="A294" s="36">
        <v>836</v>
      </c>
      <c r="B294" s="37" t="str">
        <f>HYPERLINK("\\intranet-fs4\市）地域振興部\14市民自治推進室\06  市民活動\◎助成・積立・取崩（基金）\00：起案：団体登録\団体情報一覧\団体概要書（更新ごと最新に）pdf\836_prof.pdf","一般社団法人ユアセル")</f>
        <v>一般社団法人ユアセル</v>
      </c>
      <c r="C294" s="32" t="s">
        <v>1632</v>
      </c>
      <c r="D294" s="32" t="s">
        <v>1633</v>
      </c>
      <c r="E294" s="33" t="str">
        <f>HYPERLINK("https://yoursel.org/","https://yoursel.org/")</f>
        <v>https://yoursel.org/</v>
      </c>
      <c r="F294" s="34" t="s">
        <v>1634</v>
      </c>
      <c r="G294" s="34" t="s">
        <v>1634</v>
      </c>
      <c r="H294" s="32" t="s">
        <v>1635</v>
      </c>
      <c r="I294" s="32" t="s">
        <v>1636</v>
      </c>
      <c r="J294" s="32" t="s">
        <v>1637</v>
      </c>
      <c r="K294" s="35" t="s">
        <v>37</v>
      </c>
      <c r="L294" s="35" t="s">
        <v>37</v>
      </c>
      <c r="M294" s="35" t="s">
        <v>37</v>
      </c>
      <c r="N294" s="35"/>
      <c r="O294" s="35"/>
      <c r="P294" s="35"/>
      <c r="Q294" s="35"/>
      <c r="R294" s="35"/>
      <c r="S294" s="35"/>
      <c r="T294" s="35"/>
      <c r="U294" s="35"/>
      <c r="V294" s="35"/>
      <c r="W294" s="35" t="s">
        <v>37</v>
      </c>
      <c r="X294" s="35"/>
      <c r="Y294" s="35"/>
      <c r="Z294" s="35"/>
      <c r="AA294" s="35"/>
      <c r="AB294" s="35"/>
      <c r="AC294" s="35"/>
    </row>
    <row r="295" spans="1:29" ht="108">
      <c r="A295" s="36">
        <v>837</v>
      </c>
      <c r="B295" s="37" t="str">
        <f>HYPERLINK("\\intranet-fs4\市）地域振興部\14市民自治推進室\06  市民活動\◎助成・積立・取崩（基金）\00：起案：団体登録\団体情報一覧\団体概要書（更新ごと最新に）pdf\837_prof.pdf","どさんこマーブルタウン実行委員会")</f>
        <v>どさんこマーブルタウン実行委員会</v>
      </c>
      <c r="C295" s="32" t="s">
        <v>1638</v>
      </c>
      <c r="D295" s="32" t="s">
        <v>1055</v>
      </c>
      <c r="E295" s="33" t="str">
        <f>HYPERLINK("https://www.dosankomarbletown.com/","https://www.dosankomarbletown.com/")</f>
        <v>https://www.dosankomarbletown.com/</v>
      </c>
      <c r="F295" s="34" t="s">
        <v>1639</v>
      </c>
      <c r="G295" s="34" t="s">
        <v>1639</v>
      </c>
      <c r="H295" s="32" t="s">
        <v>1640</v>
      </c>
      <c r="I295" s="32" t="s">
        <v>1641</v>
      </c>
      <c r="J295" s="32" t="s">
        <v>1642</v>
      </c>
      <c r="K295" s="35"/>
      <c r="L295" s="35"/>
      <c r="M295" s="35"/>
      <c r="N295" s="35"/>
      <c r="O295" s="35"/>
      <c r="P295" s="35"/>
      <c r="Q295" s="35"/>
      <c r="R295" s="35"/>
      <c r="S295" s="35"/>
      <c r="T295" s="35"/>
      <c r="U295" s="35"/>
      <c r="V295" s="35"/>
      <c r="W295" s="35" t="s">
        <v>37</v>
      </c>
      <c r="X295" s="35"/>
      <c r="Y295" s="35"/>
      <c r="Z295" s="35"/>
      <c r="AA295" s="35"/>
      <c r="AB295" s="35"/>
      <c r="AC295" s="35"/>
    </row>
    <row r="296" spans="1:29" ht="81">
      <c r="A296" s="36">
        <v>838</v>
      </c>
      <c r="B296" s="37" t="str">
        <f>HYPERLINK("\\intranet-fs4\市）地域振興部\14市民自治推進室\06  市民活動\◎助成・積立・取崩（基金）\00：起案：団体登録\団体情報一覧\団体概要書（更新ごと最新に）pdf\838_prof.pdf","特定非営利活動法人CAN")</f>
        <v>特定非営利活動法人CAN</v>
      </c>
      <c r="C296" s="32" t="s">
        <v>1643</v>
      </c>
      <c r="D296" s="32" t="s">
        <v>1644</v>
      </c>
      <c r="E296" s="33" t="str">
        <f>HYPERLINK("https://can-picke.com","https://can-picke.com")</f>
        <v>https://can-picke.com</v>
      </c>
      <c r="F296" s="34" t="s">
        <v>919</v>
      </c>
      <c r="G296" s="34" t="s">
        <v>617</v>
      </c>
      <c r="H296" s="32" t="s">
        <v>1645</v>
      </c>
      <c r="I296" s="32" t="s">
        <v>1646</v>
      </c>
      <c r="J296" s="32" t="s">
        <v>1647</v>
      </c>
      <c r="K296" s="35" t="s">
        <v>37</v>
      </c>
      <c r="L296" s="35" t="s">
        <v>37</v>
      </c>
      <c r="M296" s="35"/>
      <c r="N296" s="35"/>
      <c r="O296" s="35"/>
      <c r="P296" s="35"/>
      <c r="Q296" s="35"/>
      <c r="R296" s="35"/>
      <c r="S296" s="35"/>
      <c r="T296" s="35" t="s">
        <v>37</v>
      </c>
      <c r="U296" s="35"/>
      <c r="V296" s="35"/>
      <c r="W296" s="35" t="s">
        <v>37</v>
      </c>
      <c r="X296" s="35"/>
      <c r="Y296" s="35"/>
      <c r="Z296" s="35"/>
      <c r="AA296" s="35" t="s">
        <v>37</v>
      </c>
      <c r="AB296" s="35"/>
      <c r="AC296" s="35"/>
    </row>
    <row r="297" spans="1:29" ht="148.5">
      <c r="A297" s="36">
        <v>839</v>
      </c>
      <c r="B297" s="37" t="str">
        <f>HYPERLINK("\\intranet-fs4\市）地域振興部\14市民自治推進室\06  市民活動\◎助成・積立・取崩（基金）\00：起案：団体登録\団体情報一覧\団体概要書（更新ごと最新に）pdf\839_prof.pdf","和太鼓サークル嵐")</f>
        <v>和太鼓サークル嵐</v>
      </c>
      <c r="C297" s="32" t="s">
        <v>1648</v>
      </c>
      <c r="D297" s="32" t="s">
        <v>1649</v>
      </c>
      <c r="E297" s="33" t="str">
        <f>HYPERLINK("https://wadaiko-arashi.amebaownd.com/","https://wadaiko-arashi.amebaownd.com/")</f>
        <v>https://wadaiko-arashi.amebaownd.com/</v>
      </c>
      <c r="F297" s="34" t="s">
        <v>1650</v>
      </c>
      <c r="G297" s="34" t="s">
        <v>1650</v>
      </c>
      <c r="H297" s="32" t="s">
        <v>1651</v>
      </c>
      <c r="I297" s="32" t="s">
        <v>1652</v>
      </c>
      <c r="J297" s="32" t="s">
        <v>1653</v>
      </c>
      <c r="K297" s="35" t="s">
        <v>37</v>
      </c>
      <c r="L297" s="35"/>
      <c r="M297" s="35"/>
      <c r="N297" s="35"/>
      <c r="O297" s="35"/>
      <c r="P297" s="35" t="s">
        <v>37</v>
      </c>
      <c r="Q297" s="35"/>
      <c r="R297" s="35"/>
      <c r="S297" s="35"/>
      <c r="T297" s="35" t="s">
        <v>37</v>
      </c>
      <c r="U297" s="35"/>
      <c r="V297" s="35"/>
      <c r="W297" s="35"/>
      <c r="X297" s="35"/>
      <c r="Y297" s="35"/>
      <c r="Z297" s="35"/>
      <c r="AA297" s="35"/>
      <c r="AB297" s="35"/>
      <c r="AC297" s="35"/>
    </row>
    <row r="298" spans="1:29" ht="121.5">
      <c r="A298" s="36">
        <v>840</v>
      </c>
      <c r="B298" s="37" t="str">
        <f>HYPERLINK("\\intranet-fs4\市）地域振興部\14市民自治推進室\06  市民活動\◎助成・積立・取崩（基金）\00：起案：団体登録\団体情報一覧\団体概要書（更新ごと最新に）pdf\840_prof.pdf","特定非営利活動法人nicon")</f>
        <v>特定非営利活動法人nicon</v>
      </c>
      <c r="C298" s="32" t="s">
        <v>1654</v>
      </c>
      <c r="D298" s="32" t="s">
        <v>1655</v>
      </c>
      <c r="E298" s="33" t="str">
        <f>HYPERLINK("https://npo-nicon.studio.site/","https://npo-nicon.studio.site/")</f>
        <v>https://npo-nicon.studio.site/</v>
      </c>
      <c r="F298" s="34" t="s">
        <v>1656</v>
      </c>
      <c r="G298" s="34" t="s">
        <v>1153</v>
      </c>
      <c r="H298" s="32" t="s">
        <v>1657</v>
      </c>
      <c r="I298" s="32" t="s">
        <v>1658</v>
      </c>
      <c r="J298" s="32" t="s">
        <v>1659</v>
      </c>
      <c r="K298" s="35" t="s">
        <v>37</v>
      </c>
      <c r="L298" s="35"/>
      <c r="M298" s="35" t="s">
        <v>37</v>
      </c>
      <c r="N298" s="35"/>
      <c r="O298" s="35"/>
      <c r="P298" s="35"/>
      <c r="Q298" s="35" t="s">
        <v>37</v>
      </c>
      <c r="R298" s="35"/>
      <c r="S298" s="35"/>
      <c r="T298" s="35"/>
      <c r="U298" s="35" t="s">
        <v>37</v>
      </c>
      <c r="V298" s="35"/>
      <c r="W298" s="35" t="s">
        <v>37</v>
      </c>
      <c r="X298" s="35"/>
      <c r="Y298" s="35"/>
      <c r="Z298" s="35"/>
      <c r="AA298" s="35" t="s">
        <v>37</v>
      </c>
      <c r="AB298" s="35"/>
      <c r="AC298" s="35"/>
    </row>
    <row r="299" spans="1:29" ht="135">
      <c r="A299" s="42">
        <v>841</v>
      </c>
      <c r="B299" s="37" t="str">
        <f>HYPERLINK("\\intranet-fs4\市）地域振興部\14市民自治推進室\06  市民活動\◎助成・積立・取崩（基金）\00：起案：団体登録\団体情報一覧\団体概要書（更新ごと最新に）pdf\841_prof.pdf","蝦夷village")</f>
        <v>蝦夷village</v>
      </c>
      <c r="C299" s="44" t="s">
        <v>1660</v>
      </c>
      <c r="D299" s="32" t="s">
        <v>1661</v>
      </c>
      <c r="E299" s="33" t="str">
        <f>HYPERLINK("https://www.facebook.com/profile.php?id=61554656260391","https://www.facebook.com/profile.php?id=61554656260391")</f>
        <v>https://www.facebook.com/profile.php?id=61554656260391</v>
      </c>
      <c r="F299" s="34" t="s">
        <v>1662</v>
      </c>
      <c r="G299" s="34" t="s">
        <v>1662</v>
      </c>
      <c r="H299" s="32" t="s">
        <v>1663</v>
      </c>
      <c r="I299" s="32" t="s">
        <v>1664</v>
      </c>
      <c r="J299" s="32" t="s">
        <v>1665</v>
      </c>
      <c r="K299" s="35" t="s">
        <v>37</v>
      </c>
      <c r="L299" s="35" t="s">
        <v>37</v>
      </c>
      <c r="M299" s="35" t="s">
        <v>37</v>
      </c>
      <c r="N299" s="35"/>
      <c r="O299" s="35"/>
      <c r="P299" s="35" t="s">
        <v>37</v>
      </c>
      <c r="Q299" s="35"/>
      <c r="R299" s="35"/>
      <c r="S299" s="35"/>
      <c r="T299" s="35" t="s">
        <v>37</v>
      </c>
      <c r="U299" s="35"/>
      <c r="V299" s="35"/>
      <c r="W299" s="35" t="s">
        <v>37</v>
      </c>
      <c r="X299" s="35"/>
      <c r="Y299" s="35"/>
      <c r="Z299" s="35"/>
      <c r="AA299" s="35"/>
      <c r="AB299" s="35"/>
      <c r="AC299" s="35"/>
    </row>
    <row r="300" spans="1:29" ht="121.5">
      <c r="A300" s="42">
        <v>842</v>
      </c>
      <c r="B300" s="37" t="str">
        <f>HYPERLINK("\\intranet-fs4\市）地域振興部\14市民自治推進室\06  市民活動\◎助成・積立・取崩（基金）\00：起案：団体登録\団体情報一覧\団体概要書（更新ごと最新に）pdf\842_prof.pdf","ワーカーズ・コレクティブ　プランズEPO")</f>
        <v>ワーカーズ・コレクティブ　プランズEPO</v>
      </c>
      <c r="C300" s="44" t="s">
        <v>1666</v>
      </c>
      <c r="D300" s="32" t="s">
        <v>1667</v>
      </c>
      <c r="E300" s="33" t="str">
        <f>HYPERLINK("https://plansepo2006.jimdofree.com/","https://plansepo2006.jimdofree.com/")</f>
        <v>https://plansepo2006.jimdofree.com/</v>
      </c>
      <c r="F300" s="34" t="s">
        <v>252</v>
      </c>
      <c r="G300" s="34" t="s">
        <v>252</v>
      </c>
      <c r="H300" s="32" t="s">
        <v>1668</v>
      </c>
      <c r="I300" s="32" t="s">
        <v>1669</v>
      </c>
      <c r="J300" s="32" t="s">
        <v>1670</v>
      </c>
      <c r="K300" s="35" t="s">
        <v>37</v>
      </c>
      <c r="L300" s="35"/>
      <c r="M300" s="35" t="s">
        <v>37</v>
      </c>
      <c r="N300" s="35"/>
      <c r="O300" s="35"/>
      <c r="P300" s="35"/>
      <c r="Q300" s="35"/>
      <c r="R300" s="35"/>
      <c r="S300" s="35"/>
      <c r="T300" s="35"/>
      <c r="U300" s="35"/>
      <c r="V300" s="35"/>
      <c r="W300" s="35"/>
      <c r="X300" s="35"/>
      <c r="Y300" s="35"/>
      <c r="Z300" s="35"/>
      <c r="AA300" s="35"/>
      <c r="AB300" s="35"/>
      <c r="AC300" s="35"/>
    </row>
    <row r="301" spans="1:29" ht="175.5">
      <c r="A301" s="36">
        <v>843</v>
      </c>
      <c r="B301" s="37" t="str">
        <f>HYPERLINK("\\intranet-fs4\市）地域振興部\14市民自治推進室\06  市民活動\◎助成・積立・取崩（基金）\00：起案：団体登録\団体情報一覧\団体概要書（更新ごと最新に）pdf\843_prof.pdf","#反コレ（イヤイヤ期・反抗期）実行委員会")</f>
        <v>#反コレ（イヤイヤ期・反抗期）実行委員会</v>
      </c>
      <c r="C301" s="32" t="s">
        <v>1671</v>
      </c>
      <c r="D301" s="32" t="s">
        <v>1672</v>
      </c>
      <c r="E301" s="33" t="str">
        <f>HYPERLINK("https://hancolle.amebaownd.com/","https://hancolle.amebaownd.com/")</f>
        <v>https://hancolle.amebaownd.com/</v>
      </c>
      <c r="F301" s="34" t="s">
        <v>558</v>
      </c>
      <c r="G301" s="34" t="s">
        <v>558</v>
      </c>
      <c r="H301" s="32" t="s">
        <v>1673</v>
      </c>
      <c r="I301" s="32" t="s">
        <v>1674</v>
      </c>
      <c r="J301" s="32" t="s">
        <v>1675</v>
      </c>
      <c r="K301" s="35"/>
      <c r="L301" s="35" t="s">
        <v>37</v>
      </c>
      <c r="M301" s="35" t="s">
        <v>37</v>
      </c>
      <c r="N301" s="35"/>
      <c r="O301" s="35"/>
      <c r="P301" s="35"/>
      <c r="Q301" s="35"/>
      <c r="R301" s="35"/>
      <c r="S301" s="35"/>
      <c r="T301" s="35" t="s">
        <v>37</v>
      </c>
      <c r="U301" s="35"/>
      <c r="V301" s="35" t="s">
        <v>37</v>
      </c>
      <c r="W301" s="35" t="s">
        <v>37</v>
      </c>
      <c r="X301" s="35"/>
      <c r="Y301" s="35"/>
      <c r="Z301" s="35"/>
      <c r="AA301" s="35"/>
      <c r="AB301" s="35"/>
      <c r="AC301" s="35"/>
    </row>
    <row r="302" spans="1:29" ht="148.5">
      <c r="A302" s="36">
        <v>844</v>
      </c>
      <c r="B302" s="37" t="str">
        <f>HYPERLINK("\\intranet-fs4\市）地域振興部\14市民自治推進室\06  市民活動\◎助成・積立・取崩（基金）\00：起案：団体登録\団体情報一覧\団体概要書（更新ごと最新に）pdf\844_prof.pdf","特定非営利活動法人Bridge for the birds")</f>
        <v>特定非営利活動法人Bridge for the birds</v>
      </c>
      <c r="C302" s="32" t="s">
        <v>1676</v>
      </c>
      <c r="D302" s="32" t="s">
        <v>1677</v>
      </c>
      <c r="E302" s="33" t="str">
        <f>HYPERLINK("https://bbhsapporo.wixsite.com/bridge-for-bird","https://bbhsapporo.wixsite.com/bridge-for-bird")</f>
        <v>https://bbhsapporo.wixsite.com/bridge-for-bird</v>
      </c>
      <c r="F302" s="34" t="s">
        <v>1678</v>
      </c>
      <c r="G302" s="34" t="s">
        <v>806</v>
      </c>
      <c r="H302" s="32" t="s">
        <v>1679</v>
      </c>
      <c r="I302" s="32" t="s">
        <v>1680</v>
      </c>
      <c r="J302" s="32" t="s">
        <v>1681</v>
      </c>
      <c r="K302" s="35" t="s">
        <v>37</v>
      </c>
      <c r="L302" s="35" t="s">
        <v>37</v>
      </c>
      <c r="M302" s="35"/>
      <c r="N302" s="35"/>
      <c r="O302" s="35"/>
      <c r="P302" s="35"/>
      <c r="Q302" s="35"/>
      <c r="R302" s="35"/>
      <c r="S302" s="35"/>
      <c r="T302" s="35"/>
      <c r="U302" s="35"/>
      <c r="V302" s="35"/>
      <c r="W302" s="35"/>
      <c r="X302" s="35"/>
      <c r="Y302" s="35"/>
      <c r="Z302" s="35"/>
      <c r="AA302" s="35"/>
      <c r="AB302" s="35"/>
      <c r="AC302" s="35"/>
    </row>
    <row r="303" spans="1:29" ht="94.5">
      <c r="A303" s="36">
        <v>845</v>
      </c>
      <c r="B303" s="37" t="str">
        <f>HYPERLINK("\\intranet-fs4\市）地域振興部\14市民自治推進室\06  市民活動\◎助成・積立・取崩（基金）\00：起案：団体登録\団体情報一覧\団体概要書（更新ごと最新に）pdf\845_prof.pdf","特定非営利活動法人もみじ台あえーる")</f>
        <v>特定非営利活動法人もみじ台あえーる</v>
      </c>
      <c r="C303" s="32" t="s">
        <v>1682</v>
      </c>
      <c r="D303" s="32" t="s">
        <v>1683</v>
      </c>
      <c r="E303" s="41"/>
      <c r="F303" s="34" t="s">
        <v>460</v>
      </c>
      <c r="G303" s="34" t="s">
        <v>460</v>
      </c>
      <c r="H303" s="32" t="s">
        <v>1684</v>
      </c>
      <c r="I303" s="32" t="s">
        <v>1685</v>
      </c>
      <c r="J303" s="32" t="s">
        <v>1686</v>
      </c>
      <c r="K303" s="35" t="s">
        <v>37</v>
      </c>
      <c r="L303" s="35"/>
      <c r="M303" s="35" t="s">
        <v>37</v>
      </c>
      <c r="N303" s="35"/>
      <c r="O303" s="35"/>
      <c r="P303" s="35"/>
      <c r="Q303" s="35"/>
      <c r="R303" s="35"/>
      <c r="S303" s="35"/>
      <c r="T303" s="35"/>
      <c r="U303" s="35"/>
      <c r="V303" s="35"/>
      <c r="W303" s="35"/>
      <c r="X303" s="35"/>
      <c r="Y303" s="35"/>
      <c r="Z303" s="35"/>
      <c r="AA303" s="35"/>
      <c r="AB303" s="35"/>
      <c r="AC303" s="35" t="s">
        <v>37</v>
      </c>
    </row>
    <row r="304" spans="1:29" ht="175.5">
      <c r="A304" s="36">
        <v>846</v>
      </c>
      <c r="B304" s="37" t="str">
        <f>HYPERLINK("\\intranet-fs4\市）地域振興部\14市民自治推進室\06  市民活動\◎助成・積立・取崩（基金）\00：起案：団体登録\団体情報一覧\団体概要書（更新ごと最新に）pdf\846_prof.pdf","特定非営利活動法人ブリッジフォースマイル　北海道事務局")</f>
        <v>特定非営利活動法人ブリッジフォースマイル　北海道事務局</v>
      </c>
      <c r="C304" s="32" t="s">
        <v>1687</v>
      </c>
      <c r="D304" s="32" t="s">
        <v>1688</v>
      </c>
      <c r="E304" s="33" t="str">
        <f>HYPERLINK("https://www.b4s.jp/post-9019/","https://www.b4s.jp/post-9019/")</f>
        <v>https://www.b4s.jp/post-9019/</v>
      </c>
      <c r="F304" s="34" t="s">
        <v>1207</v>
      </c>
      <c r="G304" s="34" t="s">
        <v>1207</v>
      </c>
      <c r="H304" s="32" t="s">
        <v>1689</v>
      </c>
      <c r="I304" s="32" t="s">
        <v>1690</v>
      </c>
      <c r="J304" s="32" t="s">
        <v>1691</v>
      </c>
      <c r="K304" s="35" t="s">
        <v>37</v>
      </c>
      <c r="L304" s="35" t="s">
        <v>37</v>
      </c>
      <c r="M304" s="35"/>
      <c r="N304" s="35"/>
      <c r="O304" s="35"/>
      <c r="P304" s="35"/>
      <c r="Q304" s="35"/>
      <c r="R304" s="35"/>
      <c r="S304" s="35"/>
      <c r="T304" s="35"/>
      <c r="U304" s="35"/>
      <c r="V304" s="35"/>
      <c r="W304" s="35" t="s">
        <v>37</v>
      </c>
      <c r="X304" s="35"/>
      <c r="Y304" s="35"/>
      <c r="Z304" s="35"/>
      <c r="AA304" s="35"/>
      <c r="AB304" s="35"/>
      <c r="AC304" s="35"/>
    </row>
    <row r="305" spans="1:29" ht="175.5">
      <c r="A305" s="36">
        <v>847</v>
      </c>
      <c r="B305" s="37" t="str">
        <f>HYPERLINK("\\intranet-fs4\市）地域振興部\14市民自治推進室\06  市民活動\◎助成・積立・取崩（基金）\00：起案：団体登録\団体情報一覧\団体概要書（更新ごと最新に）pdf\847_prof.pdf","AMBITION")</f>
        <v>AMBITION</v>
      </c>
      <c r="C305" s="32" t="s">
        <v>1692</v>
      </c>
      <c r="D305" s="32" t="s">
        <v>1693</v>
      </c>
      <c r="E305" s="41"/>
      <c r="F305" s="34" t="s">
        <v>1694</v>
      </c>
      <c r="G305" s="34" t="s">
        <v>1694</v>
      </c>
      <c r="H305" s="32" t="s">
        <v>1695</v>
      </c>
      <c r="I305" s="32" t="s">
        <v>1696</v>
      </c>
      <c r="J305" s="32" t="s">
        <v>1697</v>
      </c>
      <c r="K305" s="35"/>
      <c r="L305" s="35" t="s">
        <v>37</v>
      </c>
      <c r="M305" s="35"/>
      <c r="N305" s="35" t="s">
        <v>37</v>
      </c>
      <c r="O305" s="35"/>
      <c r="P305" s="35" t="s">
        <v>37</v>
      </c>
      <c r="Q305" s="35"/>
      <c r="R305" s="35"/>
      <c r="S305" s="35"/>
      <c r="T305" s="35"/>
      <c r="U305" s="35" t="s">
        <v>37</v>
      </c>
      <c r="V305" s="35"/>
      <c r="W305" s="35"/>
      <c r="X305" s="35"/>
      <c r="Y305" s="35"/>
      <c r="Z305" s="35" t="s">
        <v>37</v>
      </c>
      <c r="AA305" s="35" t="s">
        <v>37</v>
      </c>
      <c r="AB305" s="35"/>
      <c r="AC305" s="35"/>
    </row>
    <row r="306" spans="1:29" ht="202.5">
      <c r="A306" s="36">
        <v>848</v>
      </c>
      <c r="B306" s="37" t="str">
        <f>HYPERLINK("\\intranet-fs4\市）地域振興部\14市民自治推進室\06  市民活動\◎助成・積立・取崩（基金）\00：起案：団体登録\団体情報一覧\団体概要書（更新ごと最新に）pdf\848_prof.pdf","任意団体マザーライフサポート")</f>
        <v>任意団体マザーライフサポート</v>
      </c>
      <c r="C306" s="32" t="s">
        <v>1698</v>
      </c>
      <c r="D306" s="32" t="s">
        <v>115</v>
      </c>
      <c r="E306" s="33" t="str">
        <f>HYPERLINK("https://femamatetuko.wixsite.com/motherlifesupport","https://femamatetuko.wixsite.com/motherlifesupport")</f>
        <v>https://femamatetuko.wixsite.com/motherlifesupport</v>
      </c>
      <c r="F306" s="34" t="s">
        <v>1201</v>
      </c>
      <c r="G306" s="34" t="s">
        <v>1201</v>
      </c>
      <c r="H306" s="32" t="s">
        <v>1699</v>
      </c>
      <c r="I306" s="32" t="s">
        <v>1700</v>
      </c>
      <c r="J306" s="32" t="s">
        <v>1701</v>
      </c>
      <c r="K306" s="35"/>
      <c r="L306" s="35"/>
      <c r="M306" s="35"/>
      <c r="N306" s="35"/>
      <c r="O306" s="35"/>
      <c r="P306" s="35"/>
      <c r="Q306" s="35"/>
      <c r="R306" s="35"/>
      <c r="S306" s="35"/>
      <c r="T306" s="35"/>
      <c r="U306" s="35"/>
      <c r="V306" s="35"/>
      <c r="W306" s="35" t="s">
        <v>37</v>
      </c>
      <c r="X306" s="35"/>
      <c r="Y306" s="35"/>
      <c r="Z306" s="35"/>
      <c r="AA306" s="35"/>
      <c r="AB306" s="35"/>
      <c r="AC306" s="35"/>
    </row>
    <row r="307" spans="1:29" ht="135">
      <c r="A307" s="36">
        <v>849</v>
      </c>
      <c r="B307" s="37" t="str">
        <f>HYPERLINK("\\intranet-fs4\市）地域振興部\14市民自治推進室\06  市民活動\◎助成・積立・取崩（基金）\00：起案：団体登録\団体情報一覧\団体概要書（更新ごと最新に）pdf\849_prof.pdf","特定非営利活動法人　さっぽろ農学校倶楽部")</f>
        <v>特定非営利活動法人　さっぽろ農学校倶楽部</v>
      </c>
      <c r="C307" s="32" t="s">
        <v>1702</v>
      </c>
      <c r="D307" s="32" t="s">
        <v>1147</v>
      </c>
      <c r="E307" s="38" t="str">
        <f>HYPERLINK("http://sapporo-nougakkou-club.jp/","http://sapporo-nougakkou-club.jp/")</f>
        <v>http://sapporo-nougakkou-club.jp/</v>
      </c>
      <c r="F307" s="34" t="s">
        <v>646</v>
      </c>
      <c r="G307" s="34" t="s">
        <v>252</v>
      </c>
      <c r="H307" s="32" t="s">
        <v>1703</v>
      </c>
      <c r="I307" s="32" t="s">
        <v>1704</v>
      </c>
      <c r="J307" s="32" t="s">
        <v>1705</v>
      </c>
      <c r="K307" s="35" t="s">
        <v>37</v>
      </c>
      <c r="L307" s="35" t="s">
        <v>37</v>
      </c>
      <c r="M307" s="35" t="s">
        <v>37</v>
      </c>
      <c r="N307" s="35"/>
      <c r="O307" s="35" t="s">
        <v>37</v>
      </c>
      <c r="P307" s="35"/>
      <c r="Q307" s="35" t="s">
        <v>37</v>
      </c>
      <c r="R307" s="35"/>
      <c r="S307" s="35"/>
      <c r="T307" s="35"/>
      <c r="U307" s="35" t="s">
        <v>37</v>
      </c>
      <c r="V307" s="35"/>
      <c r="W307" s="35" t="s">
        <v>37</v>
      </c>
      <c r="X307" s="35"/>
      <c r="Y307" s="35"/>
      <c r="Z307" s="35"/>
      <c r="AA307" s="35"/>
      <c r="AB307" s="35" t="s">
        <v>37</v>
      </c>
      <c r="AC307" s="35"/>
    </row>
    <row r="308" spans="1:29" ht="67.5">
      <c r="A308" s="36">
        <v>850</v>
      </c>
      <c r="B308" s="37" t="s">
        <v>1711</v>
      </c>
      <c r="C308" s="32" t="s">
        <v>1706</v>
      </c>
      <c r="D308" s="32"/>
      <c r="E308" s="33" t="str">
        <f>HYPERLINK("https://suzuki-syusaku.com/slrt/","https://suzuki-syusaku.com/slrt/")</f>
        <v>https://suzuki-syusaku.com/slrt/</v>
      </c>
      <c r="F308" s="34" t="s">
        <v>1707</v>
      </c>
      <c r="G308" s="34" t="s">
        <v>1707</v>
      </c>
      <c r="H308" s="32" t="s">
        <v>1708</v>
      </c>
      <c r="I308" s="32" t="s">
        <v>1709</v>
      </c>
      <c r="J308" s="32" t="s">
        <v>1710</v>
      </c>
      <c r="K308" s="35"/>
      <c r="L308" s="35"/>
      <c r="M308" s="35" t="s">
        <v>37</v>
      </c>
      <c r="N308" s="35" t="s">
        <v>37</v>
      </c>
      <c r="O308" s="35"/>
      <c r="P308" s="35" t="s">
        <v>37</v>
      </c>
      <c r="Q308" s="35"/>
      <c r="R308" s="35"/>
      <c r="S308" s="35"/>
      <c r="T308" s="35"/>
      <c r="U308" s="35" t="s">
        <v>37</v>
      </c>
      <c r="V308" s="35"/>
      <c r="W308" s="35" t="s">
        <v>37</v>
      </c>
      <c r="X308" s="35"/>
      <c r="Y308" s="35"/>
      <c r="Z308" s="35"/>
      <c r="AA308" s="35"/>
      <c r="AB308" s="35"/>
      <c r="AC308" s="35"/>
    </row>
    <row r="309" spans="1:29">
      <c r="B309" s="6"/>
    </row>
    <row r="310" spans="1:29">
      <c r="B310" s="6"/>
    </row>
    <row r="311" spans="1:29">
      <c r="B311" s="6"/>
    </row>
    <row r="312" spans="1:29">
      <c r="B312" s="6"/>
    </row>
    <row r="313" spans="1:29">
      <c r="B313" s="6"/>
    </row>
    <row r="314" spans="1:29">
      <c r="A314" s="9"/>
      <c r="B314" s="7"/>
    </row>
    <row r="315" spans="1:29">
      <c r="B315" s="6"/>
    </row>
    <row r="316" spans="1:29">
      <c r="B316" s="6"/>
    </row>
    <row r="317" spans="1:29">
      <c r="B317" s="6"/>
    </row>
    <row r="318" spans="1:29">
      <c r="B318" s="6"/>
    </row>
    <row r="319" spans="1:29">
      <c r="B319" s="6"/>
    </row>
    <row r="320" spans="1:29">
      <c r="B320" s="6"/>
    </row>
    <row r="321" spans="1:29">
      <c r="B321" s="6"/>
    </row>
    <row r="322" spans="1:29">
      <c r="B322" s="6"/>
    </row>
    <row r="323" spans="1:29">
      <c r="B323" s="6"/>
    </row>
    <row r="324" spans="1:29">
      <c r="B324" s="6"/>
      <c r="E324" s="11"/>
    </row>
    <row r="325" spans="1:29">
      <c r="B325" s="6"/>
      <c r="E325" s="11"/>
    </row>
    <row r="326" spans="1:29">
      <c r="B326" s="6"/>
    </row>
    <row r="327" spans="1:29" s="13" customFormat="1">
      <c r="A327" s="9"/>
      <c r="B327" s="6"/>
      <c r="C327" s="10"/>
      <c r="D327" s="10"/>
      <c r="E327" s="11"/>
      <c r="F327" s="26"/>
      <c r="G327" s="26"/>
      <c r="H327" s="10"/>
      <c r="I327" s="10"/>
      <c r="J327" s="10"/>
      <c r="K327" s="12"/>
      <c r="L327" s="12"/>
      <c r="M327" s="12"/>
      <c r="N327" s="12"/>
      <c r="O327" s="12"/>
      <c r="P327" s="12"/>
      <c r="Q327" s="12"/>
      <c r="R327" s="12"/>
      <c r="S327" s="12"/>
      <c r="T327" s="12"/>
      <c r="U327" s="12"/>
      <c r="V327" s="12"/>
      <c r="W327" s="12"/>
      <c r="X327" s="12"/>
      <c r="Y327" s="12"/>
      <c r="Z327" s="12"/>
      <c r="AA327" s="12"/>
      <c r="AB327" s="12"/>
      <c r="AC327" s="12"/>
    </row>
    <row r="328" spans="1:29">
      <c r="B328" s="6"/>
    </row>
    <row r="329" spans="1:29">
      <c r="B329" s="6"/>
    </row>
    <row r="330" spans="1:29">
      <c r="B330" s="6"/>
      <c r="E330" s="11"/>
    </row>
    <row r="331" spans="1:29">
      <c r="B331" s="6"/>
    </row>
    <row r="332" spans="1:29">
      <c r="B332" s="6"/>
    </row>
    <row r="333" spans="1:29">
      <c r="B333" s="6"/>
    </row>
    <row r="334" spans="1:29">
      <c r="B334" s="6"/>
    </row>
    <row r="335" spans="1:29">
      <c r="B335" s="6"/>
    </row>
    <row r="336" spans="1:29">
      <c r="B336" s="6"/>
    </row>
    <row r="337" spans="2:5">
      <c r="B337" s="6"/>
    </row>
    <row r="338" spans="2:5">
      <c r="B338" s="6"/>
    </row>
    <row r="339" spans="2:5">
      <c r="B339" s="6"/>
    </row>
    <row r="340" spans="2:5">
      <c r="B340" s="6"/>
    </row>
    <row r="341" spans="2:5">
      <c r="B341" s="6"/>
    </row>
    <row r="342" spans="2:5">
      <c r="B342" s="6"/>
    </row>
    <row r="343" spans="2:5">
      <c r="B343" s="6"/>
      <c r="E343" s="11"/>
    </row>
    <row r="344" spans="2:5">
      <c r="B344" s="6"/>
    </row>
    <row r="345" spans="2:5">
      <c r="B345" s="6"/>
    </row>
    <row r="346" spans="2:5">
      <c r="B346" s="6"/>
      <c r="E346" s="11"/>
    </row>
    <row r="347" spans="2:5">
      <c r="B347" s="6"/>
    </row>
    <row r="348" spans="2:5">
      <c r="B348" s="6"/>
      <c r="E348" s="11"/>
    </row>
    <row r="349" spans="2:5">
      <c r="B349" s="6"/>
    </row>
    <row r="350" spans="2:5">
      <c r="B350" s="6"/>
      <c r="C350" s="10"/>
      <c r="D350" s="10"/>
    </row>
    <row r="351" spans="2:5">
      <c r="B351" s="6"/>
    </row>
    <row r="352" spans="2:5">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5">
      <c r="B369" s="6"/>
    </row>
    <row r="370" spans="2:5">
      <c r="B370" s="6"/>
    </row>
    <row r="371" spans="2:5">
      <c r="B371" s="6"/>
    </row>
    <row r="372" spans="2:5">
      <c r="B372" s="6"/>
    </row>
    <row r="373" spans="2:5">
      <c r="B373" s="6"/>
    </row>
    <row r="374" spans="2:5">
      <c r="B374" s="6"/>
    </row>
    <row r="375" spans="2:5">
      <c r="B375" s="6"/>
      <c r="E375" s="11"/>
    </row>
    <row r="376" spans="2:5">
      <c r="B376" s="6"/>
      <c r="E376" s="11"/>
    </row>
    <row r="377" spans="2:5">
      <c r="B377" s="6"/>
    </row>
    <row r="378" spans="2:5">
      <c r="B378" s="6"/>
      <c r="E378" s="11"/>
    </row>
    <row r="379" spans="2:5">
      <c r="B379" s="6"/>
    </row>
    <row r="380" spans="2:5">
      <c r="B380" s="6"/>
    </row>
    <row r="381" spans="2:5">
      <c r="B381" s="6"/>
      <c r="E381" s="11"/>
    </row>
    <row r="382" spans="2:5">
      <c r="B382" s="6"/>
    </row>
    <row r="383" spans="2:5">
      <c r="B383" s="6"/>
    </row>
    <row r="384" spans="2:5">
      <c r="B384" s="6"/>
      <c r="E384" s="11"/>
    </row>
    <row r="385" spans="2:5">
      <c r="B385" s="6"/>
    </row>
    <row r="386" spans="2:5">
      <c r="B386" s="6"/>
    </row>
    <row r="387" spans="2:5">
      <c r="B387" s="6"/>
    </row>
    <row r="388" spans="2:5">
      <c r="B388" s="6"/>
    </row>
    <row r="389" spans="2:5">
      <c r="B389" s="6"/>
    </row>
    <row r="390" spans="2:5">
      <c r="B390" s="6"/>
    </row>
    <row r="391" spans="2:5">
      <c r="B391" s="6"/>
    </row>
    <row r="392" spans="2:5">
      <c r="B392" s="6"/>
    </row>
    <row r="393" spans="2:5">
      <c r="B393" s="6"/>
      <c r="E393" s="8"/>
    </row>
    <row r="394" spans="2:5">
      <c r="B394" s="6"/>
    </row>
    <row r="395" spans="2:5">
      <c r="B395" s="6"/>
    </row>
    <row r="396" spans="2:5">
      <c r="B396" s="6"/>
    </row>
    <row r="397" spans="2:5">
      <c r="B397" s="6"/>
    </row>
    <row r="398" spans="2:5">
      <c r="B398" s="6"/>
    </row>
    <row r="399" spans="2:5">
      <c r="B399" s="6"/>
    </row>
    <row r="400" spans="2:5">
      <c r="B400" s="6"/>
    </row>
    <row r="401" spans="2:5">
      <c r="B401" s="6"/>
    </row>
    <row r="402" spans="2:5">
      <c r="B402" s="6"/>
    </row>
    <row r="403" spans="2:5">
      <c r="B403" s="6"/>
    </row>
    <row r="404" spans="2:5">
      <c r="B404" s="6"/>
      <c r="E404" s="11"/>
    </row>
    <row r="405" spans="2:5">
      <c r="B405" s="6"/>
    </row>
    <row r="406" spans="2:5">
      <c r="B406" s="6"/>
      <c r="E406" s="11"/>
    </row>
    <row r="407" spans="2:5">
      <c r="B407" s="4"/>
    </row>
    <row r="408" spans="2:5">
      <c r="B408" s="6"/>
      <c r="E408" s="11"/>
    </row>
    <row r="409" spans="2:5">
      <c r="B409" s="4"/>
    </row>
    <row r="410" spans="2:5">
      <c r="B410" s="6"/>
    </row>
    <row r="411" spans="2:5">
      <c r="B411" s="6"/>
    </row>
    <row r="412" spans="2:5">
      <c r="B412" s="6"/>
    </row>
    <row r="413" spans="2:5">
      <c r="B413" s="6"/>
    </row>
    <row r="414" spans="2:5">
      <c r="B414" s="6"/>
    </row>
    <row r="415" spans="2:5">
      <c r="B415" s="6"/>
    </row>
    <row r="416" spans="2:5">
      <c r="B416" s="6"/>
    </row>
    <row r="417" spans="2:10">
      <c r="B417" s="6"/>
      <c r="E417" s="11"/>
    </row>
    <row r="418" spans="2:10">
      <c r="B418" s="6"/>
    </row>
    <row r="419" spans="2:10">
      <c r="B419" s="7"/>
    </row>
    <row r="420" spans="2:10">
      <c r="B420" s="7"/>
    </row>
    <row r="421" spans="2:10">
      <c r="B421" s="7"/>
      <c r="J421" s="14"/>
    </row>
    <row r="422" spans="2:10">
      <c r="B422" s="7"/>
    </row>
    <row r="423" spans="2:10">
      <c r="B423" s="7"/>
    </row>
    <row r="424" spans="2:10">
      <c r="B424" s="7"/>
    </row>
  </sheetData>
  <autoFilter ref="A2:AC420" xr:uid="{00000000-0009-0000-0000-000000000000}"/>
  <mergeCells count="1">
    <mergeCell ref="K1:AC1"/>
  </mergeCells>
  <phoneticPr fontId="1"/>
  <pageMargins left="0.31496062992125984" right="0.31496062992125984" top="0.47244094488188981" bottom="0.35433070866141736" header="0.35433070866141736" footer="0.31496062992125984"/>
  <pageSetup paperSize="9" scale="26" fitToHeight="0" orientation="landscape"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団体概要書</vt:lpstr>
      <vt:lpstr>団体概要書!Print_Area</vt:lpstr>
      <vt:lpstr>団体概要書!Print_Titles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2025-04-02T05:03:49Z</dcterms:modified>
</cp:coreProperties>
</file>